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DIRECTION\Outils\Projet de développement\"/>
    </mc:Choice>
  </mc:AlternateContent>
  <bookViews>
    <workbookView xWindow="0" yWindow="0" windowWidth="19200" windowHeight="7635" tabRatio="949" activeTab="6"/>
  </bookViews>
  <sheets>
    <sheet name="Notice" sheetId="21" r:id="rId1"/>
    <sheet name="Présentation" sheetId="22" r:id="rId2"/>
    <sheet name="AFin" sheetId="13" r:id="rId3"/>
    <sheet name="CACh prévi" sheetId="24" r:id="rId4"/>
    <sheet name="Fin" sheetId="29" r:id="rId5"/>
    <sheet name="Paramètres" sheetId="39" r:id="rId6"/>
    <sheet name="P1-P2" sheetId="23" r:id="rId7"/>
    <sheet name="P3-P4" sheetId="4" r:id="rId8"/>
    <sheet name="P5" sheetId="25" r:id="rId9"/>
    <sheet name="P6" sheetId="30" r:id="rId10"/>
    <sheet name="P7" sheetId="36" r:id="rId11"/>
    <sheet name="P8" sheetId="38" r:id="rId12"/>
    <sheet name="P9" sheetId="37" r:id="rId13"/>
    <sheet name="Emprunt 1" sheetId="31" r:id="rId14"/>
    <sheet name="Emprunt 2" sheetId="32" r:id="rId15"/>
    <sheet name="Emprunt 3" sheetId="33" r:id="rId16"/>
    <sheet name="BO AF" sheetId="17" state="hidden" r:id="rId17"/>
    <sheet name="BO" sheetId="27" state="hidden" r:id="rId18"/>
    <sheet name="BO Fin" sheetId="28" state="hidden" r:id="rId19"/>
    <sheet name="BO Cout Fin" sheetId="35" state="hidden" r:id="rId20"/>
    <sheet name="BO P10" sheetId="40" r:id="rId21"/>
  </sheets>
  <externalReferences>
    <externalReference r:id="rId22"/>
    <externalReference r:id="rId23"/>
  </externalReferences>
  <definedNames>
    <definedName name="Montant_prêt" localSheetId="13">'Emprunt 1'!$C$9</definedName>
    <definedName name="Montant_prêt" localSheetId="14">'Emprunt 2'!$C$9</definedName>
    <definedName name="Montant_prêt" localSheetId="15">'Emprunt 3'!$C$9</definedName>
    <definedName name="Nb_de_paiements_par_an">'[1]Calcul de prêt 1'!$C$17</definedName>
    <definedName name="ok" localSheetId="5">IF(#REF!&lt;&gt;"",#REF!+#REF!,"")</definedName>
    <definedName name="ok">IF(#REF!&lt;&gt;"",#REF!+#REF!,"")</definedName>
    <definedName name="Taux_intérêt_par_an">'[1]Calcul de prêt 1'!$C$15</definedName>
    <definedName name="_xlnm.Print_Area" localSheetId="2">AFin!$A$1:$I$109</definedName>
    <definedName name="_xlnm.Print_Area" localSheetId="16">'BO AF'!$A$1:$H$312</definedName>
    <definedName name="_xlnm.Print_Area" localSheetId="3">'CACh prévi'!$A$1:$AA$49</definedName>
    <definedName name="_xlnm.Print_Area" localSheetId="13">'Emprunt 1'!$A$1:$G$101</definedName>
    <definedName name="_xlnm.Print_Area" localSheetId="14">'Emprunt 2'!$A$1:$G$101</definedName>
    <definedName name="_xlnm.Print_Area" localSheetId="15">'Emprunt 3'!$A$1:$G$101</definedName>
    <definedName name="_xlnm.Print_Area" localSheetId="0">Notice!$A$1:$I$104</definedName>
    <definedName name="_xlnm.Print_Area" localSheetId="6">'P1-P2'!$A$1:$O$50</definedName>
    <definedName name="_xlnm.Print_Area" localSheetId="7">'P3-P4'!$A$1:$P$52</definedName>
    <definedName name="_xlnm.Print_Area" localSheetId="8">'P5'!$A$1:$I$50</definedName>
    <definedName name="_xlnm.Print_Area" localSheetId="9">'P6'!$A$1:$I$51</definedName>
    <definedName name="_xlnm.Print_Area" localSheetId="10">'P7'!$A$1:$I$52</definedName>
    <definedName name="_xlnm.Print_Area" localSheetId="11">'P8'!$A$1:$I$52</definedName>
    <definedName name="_xlnm.Print_Area" localSheetId="12">'P9'!$A$1:$I$52</definedName>
    <definedName name="_xlnm.Print_Area" localSheetId="5">Paramètres!$A$1:$G$52</definedName>
    <definedName name="_xlnm.Print_Area" localSheetId="1">Présentation!$A$1:$G$49</definedName>
  </definedNames>
  <calcPr calcId="15251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17" l="1"/>
  <c r="A2" i="40" s="1"/>
  <c r="A4" i="17"/>
  <c r="A45" i="36" l="1"/>
  <c r="A44" i="36"/>
  <c r="A43" i="36"/>
  <c r="M26" i="24" l="1"/>
  <c r="N26" i="24"/>
  <c r="C81" i="13" l="1"/>
  <c r="G65" i="29" l="1"/>
  <c r="G66" i="29"/>
  <c r="A32" i="36"/>
  <c r="N26" i="23"/>
  <c r="C56" i="13" l="1"/>
  <c r="C27" i="28" l="1"/>
  <c r="C28" i="28"/>
  <c r="N9" i="28" l="1"/>
  <c r="N2" i="35"/>
  <c r="N15" i="28"/>
  <c r="P15" i="28" s="1"/>
  <c r="N14" i="28"/>
  <c r="P14" i="28" s="1"/>
  <c r="N13" i="28"/>
  <c r="P13" i="28" s="1"/>
  <c r="R13" i="28" s="1"/>
  <c r="N12" i="28"/>
  <c r="P12" i="28" s="1"/>
  <c r="N11" i="28"/>
  <c r="P11" i="28" s="1"/>
  <c r="R11" i="28" s="1"/>
  <c r="K15" i="28"/>
  <c r="T15" i="28" s="1"/>
  <c r="K14" i="28"/>
  <c r="L14" i="28" s="1"/>
  <c r="S14" i="28" s="1"/>
  <c r="K13" i="28"/>
  <c r="T13" i="28" s="1"/>
  <c r="K12" i="28"/>
  <c r="T12" i="28" s="1"/>
  <c r="K11" i="28"/>
  <c r="M11" i="28" s="1"/>
  <c r="F1" i="35"/>
  <c r="B83" i="27"/>
  <c r="C14" i="27"/>
  <c r="G7" i="39"/>
  <c r="E4" i="39"/>
  <c r="D17" i="27" s="1"/>
  <c r="A16" i="21"/>
  <c r="A57" i="21" s="1"/>
  <c r="A61" i="21" s="1"/>
  <c r="A12" i="21"/>
  <c r="A55" i="21" s="1"/>
  <c r="A49" i="21" s="1"/>
  <c r="M14" i="28" l="1"/>
  <c r="T14" i="28"/>
  <c r="A52" i="21"/>
  <c r="A51" i="21"/>
  <c r="A50" i="21"/>
  <c r="M6" i="35"/>
  <c r="M4" i="35"/>
  <c r="M5" i="35"/>
  <c r="M13" i="28"/>
  <c r="L13" i="28"/>
  <c r="S13" i="28" s="1"/>
  <c r="L15" i="28"/>
  <c r="S15" i="28" s="1"/>
  <c r="G72" i="28"/>
  <c r="L12" i="28"/>
  <c r="S12" i="28" s="1"/>
  <c r="M15" i="28"/>
  <c r="Q14" i="28"/>
  <c r="R15" i="28"/>
  <c r="Q15" i="28"/>
  <c r="M12" i="28"/>
  <c r="Q12" i="28" s="1"/>
  <c r="L11" i="28"/>
  <c r="S11" i="28" s="1"/>
  <c r="T11" i="28"/>
  <c r="R12" i="28"/>
  <c r="R14" i="28"/>
  <c r="Q11" i="28"/>
  <c r="Q13" i="28"/>
  <c r="O14" i="28"/>
  <c r="A19" i="21"/>
  <c r="A21" i="21" s="1"/>
  <c r="O13" i="28" l="1"/>
  <c r="F60" i="28"/>
  <c r="E60" i="28"/>
  <c r="O11" i="28"/>
  <c r="O15" i="28"/>
  <c r="H60" i="28"/>
  <c r="C60" i="28"/>
  <c r="O12" i="28"/>
  <c r="I60" i="28"/>
  <c r="G60" i="28"/>
  <c r="D60" i="28"/>
  <c r="B60" i="28"/>
  <c r="I43" i="4"/>
  <c r="A262" i="17"/>
  <c r="I1" i="4"/>
  <c r="B16" i="28" l="1"/>
  <c r="C16" i="28" s="1"/>
  <c r="D16" i="28" s="1"/>
  <c r="V47" i="24"/>
  <c r="W47" i="24" s="1"/>
  <c r="X47" i="24" s="1"/>
  <c r="Y47" i="24" s="1"/>
  <c r="Z47" i="24" s="1"/>
  <c r="AA47" i="24" s="1"/>
  <c r="V48" i="24"/>
  <c r="W48" i="24" s="1"/>
  <c r="X48" i="24" s="1"/>
  <c r="Y48" i="24" s="1"/>
  <c r="Z48" i="24" s="1"/>
  <c r="AA48" i="24" s="1"/>
  <c r="V49" i="24"/>
  <c r="W49" i="24" s="1"/>
  <c r="X49" i="24" s="1"/>
  <c r="Y49" i="24" s="1"/>
  <c r="Z49" i="24" s="1"/>
  <c r="AA49" i="24" s="1"/>
  <c r="V44" i="24"/>
  <c r="W44" i="24" s="1"/>
  <c r="X44" i="24" s="1"/>
  <c r="Y44" i="24" s="1"/>
  <c r="Z44" i="24" s="1"/>
  <c r="AA44" i="24" s="1"/>
  <c r="V43" i="24"/>
  <c r="W43" i="24" s="1"/>
  <c r="X43" i="24" s="1"/>
  <c r="Y43" i="24" s="1"/>
  <c r="Z43" i="24" s="1"/>
  <c r="AA43" i="24" s="1"/>
  <c r="V36" i="24"/>
  <c r="W36" i="24" s="1"/>
  <c r="X36" i="24" s="1"/>
  <c r="Y36" i="24" s="1"/>
  <c r="Z36" i="24" s="1"/>
  <c r="AA36" i="24" s="1"/>
  <c r="V37" i="24"/>
  <c r="W37" i="24" s="1"/>
  <c r="X37" i="24" s="1"/>
  <c r="Y37" i="24" s="1"/>
  <c r="Z37" i="24" s="1"/>
  <c r="AA37" i="24" s="1"/>
  <c r="V38" i="24"/>
  <c r="W38" i="24" s="1"/>
  <c r="X38" i="24" s="1"/>
  <c r="Y38" i="24" s="1"/>
  <c r="Z38" i="24" s="1"/>
  <c r="AA38" i="24" s="1"/>
  <c r="V39" i="24"/>
  <c r="W39" i="24" s="1"/>
  <c r="X39" i="24" s="1"/>
  <c r="Y39" i="24" s="1"/>
  <c r="Z39" i="24" s="1"/>
  <c r="AA39" i="24" s="1"/>
  <c r="V40" i="24"/>
  <c r="W40" i="24" s="1"/>
  <c r="X40" i="24" s="1"/>
  <c r="Y40" i="24" s="1"/>
  <c r="Z40" i="24" s="1"/>
  <c r="AA40" i="24" s="1"/>
  <c r="V41" i="24"/>
  <c r="W41" i="24" s="1"/>
  <c r="X41" i="24" s="1"/>
  <c r="Y41" i="24" s="1"/>
  <c r="Z41" i="24" s="1"/>
  <c r="AA41" i="24" s="1"/>
  <c r="V35" i="24"/>
  <c r="W35" i="24" s="1"/>
  <c r="X35" i="24" s="1"/>
  <c r="Y35" i="24" s="1"/>
  <c r="Z35" i="24" s="1"/>
  <c r="AA35" i="24" s="1"/>
  <c r="V31" i="24"/>
  <c r="W31" i="24" s="1"/>
  <c r="X31" i="24" s="1"/>
  <c r="Y31" i="24" s="1"/>
  <c r="Z31" i="24" s="1"/>
  <c r="AA31" i="24" s="1"/>
  <c r="V32" i="24"/>
  <c r="W32" i="24" s="1"/>
  <c r="X32" i="24" s="1"/>
  <c r="Y32" i="24" s="1"/>
  <c r="Z32" i="24" s="1"/>
  <c r="AA32" i="24" s="1"/>
  <c r="V33" i="24"/>
  <c r="W33" i="24" s="1"/>
  <c r="X33" i="24" s="1"/>
  <c r="Y33" i="24" s="1"/>
  <c r="Z33" i="24" s="1"/>
  <c r="AA33" i="24" s="1"/>
  <c r="V30" i="24"/>
  <c r="W30" i="24" s="1"/>
  <c r="X30" i="24" s="1"/>
  <c r="Y30" i="24" s="1"/>
  <c r="Z30" i="24" s="1"/>
  <c r="AA30" i="24" s="1"/>
  <c r="W28" i="24"/>
  <c r="X28" i="24" s="1"/>
  <c r="Y28" i="24" s="1"/>
  <c r="Z28" i="24" s="1"/>
  <c r="AA28" i="24" s="1"/>
  <c r="V28" i="24"/>
  <c r="W24" i="24"/>
  <c r="X24" i="24" s="1"/>
  <c r="Y24" i="24" s="1"/>
  <c r="Z24" i="24" s="1"/>
  <c r="AA24" i="24" s="1"/>
  <c r="V24" i="24"/>
  <c r="V25" i="24"/>
  <c r="W25" i="24" s="1"/>
  <c r="X25" i="24" s="1"/>
  <c r="Y25" i="24" s="1"/>
  <c r="Z25" i="24" s="1"/>
  <c r="AA25" i="24" s="1"/>
  <c r="V26" i="24"/>
  <c r="W26" i="24" s="1"/>
  <c r="X26" i="24" s="1"/>
  <c r="Y26" i="24" s="1"/>
  <c r="Z26" i="24" s="1"/>
  <c r="AA26" i="24" s="1"/>
  <c r="V23" i="24"/>
  <c r="W23" i="24" s="1"/>
  <c r="X23" i="24" s="1"/>
  <c r="Y23" i="24" s="1"/>
  <c r="Z23" i="24" s="1"/>
  <c r="AA23" i="24" s="1"/>
  <c r="V22" i="24"/>
  <c r="W22" i="24" s="1"/>
  <c r="X22" i="24" s="1"/>
  <c r="Y22" i="24" s="1"/>
  <c r="Z22" i="24" s="1"/>
  <c r="AA22" i="24" s="1"/>
  <c r="V21" i="24"/>
  <c r="W21" i="24" s="1"/>
  <c r="X21" i="24" s="1"/>
  <c r="Y21" i="24" s="1"/>
  <c r="Z21" i="24" s="1"/>
  <c r="AA21" i="24" s="1"/>
  <c r="V20" i="24"/>
  <c r="W20" i="24" s="1"/>
  <c r="X20" i="24" s="1"/>
  <c r="Y20" i="24" s="1"/>
  <c r="Z20" i="24" s="1"/>
  <c r="AA20" i="24" s="1"/>
  <c r="E16" i="28" l="1"/>
  <c r="F16" i="28" s="1"/>
  <c r="G16" i="28" s="1"/>
  <c r="C32" i="38"/>
  <c r="D32" i="38"/>
  <c r="E32" i="38"/>
  <c r="F32" i="38"/>
  <c r="G32" i="38"/>
  <c r="H32" i="38"/>
  <c r="I32" i="38"/>
  <c r="B32" i="38"/>
  <c r="B28" i="27"/>
  <c r="B29" i="27"/>
  <c r="B30" i="27"/>
  <c r="B31" i="27"/>
  <c r="B32" i="27"/>
  <c r="B33" i="27"/>
  <c r="B34" i="27"/>
  <c r="B35" i="27"/>
  <c r="B36" i="27"/>
  <c r="B37" i="27"/>
  <c r="B38" i="27"/>
  <c r="B27" i="27"/>
  <c r="D19" i="27"/>
  <c r="D18" i="27"/>
  <c r="D15" i="27"/>
  <c r="D37" i="29" s="1"/>
  <c r="C16" i="27" l="1"/>
  <c r="H16" i="28"/>
  <c r="A16" i="29"/>
  <c r="B17" i="29"/>
  <c r="C17" i="29"/>
  <c r="E17" i="29"/>
  <c r="F17" i="29"/>
  <c r="G17" i="29"/>
  <c r="H17" i="29"/>
  <c r="I17" i="29"/>
  <c r="D17" i="29"/>
  <c r="I43" i="38"/>
  <c r="B39" i="38"/>
  <c r="B59" i="28" s="1"/>
  <c r="B34" i="38"/>
  <c r="I38" i="38"/>
  <c r="H38" i="38"/>
  <c r="G38" i="38"/>
  <c r="F38" i="38"/>
  <c r="E38" i="38"/>
  <c r="D38" i="38"/>
  <c r="C38" i="38"/>
  <c r="B38" i="38"/>
  <c r="I36" i="38"/>
  <c r="H36" i="38"/>
  <c r="G36" i="38"/>
  <c r="F36" i="38"/>
  <c r="E36" i="38"/>
  <c r="D36" i="38"/>
  <c r="C36" i="38"/>
  <c r="B36" i="38"/>
  <c r="I35" i="38"/>
  <c r="I58" i="28" s="1"/>
  <c r="H35" i="38"/>
  <c r="H58" i="28" s="1"/>
  <c r="G35" i="38"/>
  <c r="G58" i="28" s="1"/>
  <c r="F35" i="38"/>
  <c r="F58" i="28" s="1"/>
  <c r="E35" i="38"/>
  <c r="E58" i="28" s="1"/>
  <c r="D35" i="38"/>
  <c r="D58" i="28" s="1"/>
  <c r="C35" i="38"/>
  <c r="C58" i="28" s="1"/>
  <c r="B35" i="38"/>
  <c r="B58" i="28" s="1"/>
  <c r="A20" i="38"/>
  <c r="A19" i="38"/>
  <c r="A18" i="38"/>
  <c r="A17" i="38"/>
  <c r="G16" i="38"/>
  <c r="E16" i="38"/>
  <c r="C16" i="38"/>
  <c r="M40" i="35"/>
  <c r="L38" i="35"/>
  <c r="C39" i="38" l="1"/>
  <c r="C59" i="28" s="1"/>
  <c r="G46" i="38"/>
  <c r="D46" i="38"/>
  <c r="H46" i="38"/>
  <c r="E46" i="38"/>
  <c r="I46" i="38"/>
  <c r="B46" i="38"/>
  <c r="F46" i="38"/>
  <c r="C46" i="38"/>
  <c r="D39" i="38" l="1"/>
  <c r="E39" i="38" s="1"/>
  <c r="D59" i="28" l="1"/>
  <c r="F39" i="38"/>
  <c r="E59" i="28"/>
  <c r="F59" i="28" l="1"/>
  <c r="C126" i="27" l="1"/>
  <c r="I40" i="36"/>
  <c r="A78" i="28"/>
  <c r="A42" i="36" s="1"/>
  <c r="B77" i="28"/>
  <c r="H3" i="28"/>
  <c r="H4" i="28" s="1"/>
  <c r="H5" i="28" s="1"/>
  <c r="A46" i="30"/>
  <c r="H31" i="30"/>
  <c r="B31" i="30"/>
  <c r="A83" i="27"/>
  <c r="B85" i="27"/>
  <c r="A79" i="27"/>
  <c r="A78" i="27" s="1"/>
  <c r="B78" i="27"/>
  <c r="A73" i="27"/>
  <c r="B74" i="27"/>
  <c r="B69" i="27"/>
  <c r="A68" i="27"/>
  <c r="A69" i="27" s="1"/>
  <c r="I43" i="27"/>
  <c r="A45" i="27"/>
  <c r="A59" i="35"/>
  <c r="A58" i="35"/>
  <c r="A22" i="35"/>
  <c r="A21" i="35"/>
  <c r="I38" i="35"/>
  <c r="I56" i="35" s="1"/>
  <c r="H38" i="35"/>
  <c r="H56" i="35" s="1"/>
  <c r="G38" i="35"/>
  <c r="G56" i="35" s="1"/>
  <c r="F38" i="35"/>
  <c r="F56" i="35" s="1"/>
  <c r="E38" i="35"/>
  <c r="E56" i="35" s="1"/>
  <c r="D38" i="35"/>
  <c r="D56" i="35" s="1"/>
  <c r="C38" i="35"/>
  <c r="C56" i="35" s="1"/>
  <c r="B38" i="35"/>
  <c r="B56" i="35" s="1"/>
  <c r="R6" i="35"/>
  <c r="C12" i="33"/>
  <c r="G20" i="38" s="1"/>
  <c r="C11" i="33"/>
  <c r="C10" i="33"/>
  <c r="G18" i="38" s="1"/>
  <c r="C9" i="33"/>
  <c r="C12" i="32"/>
  <c r="E20" i="38" s="1"/>
  <c r="C11" i="32"/>
  <c r="A99" i="32" s="1"/>
  <c r="C99" i="32" s="1"/>
  <c r="C10" i="32"/>
  <c r="E18" i="38" s="1"/>
  <c r="C9" i="32"/>
  <c r="C12" i="31"/>
  <c r="C20" i="38" s="1"/>
  <c r="C11" i="31"/>
  <c r="A22" i="31" s="1"/>
  <c r="C10" i="31"/>
  <c r="C9" i="31"/>
  <c r="E18" i="30"/>
  <c r="F18" i="30"/>
  <c r="G18" i="30"/>
  <c r="H18" i="30"/>
  <c r="D18" i="30"/>
  <c r="E23" i="30"/>
  <c r="F23" i="30"/>
  <c r="G23" i="30"/>
  <c r="H23" i="30"/>
  <c r="E22" i="30"/>
  <c r="F22" i="30"/>
  <c r="G22" i="30"/>
  <c r="H22" i="30"/>
  <c r="E21" i="30"/>
  <c r="F21" i="30"/>
  <c r="G21" i="30"/>
  <c r="H21" i="30"/>
  <c r="D23" i="30"/>
  <c r="D22" i="30"/>
  <c r="D21" i="30"/>
  <c r="E20" i="30"/>
  <c r="F20" i="30"/>
  <c r="G20" i="30"/>
  <c r="H20" i="30"/>
  <c r="D20" i="30"/>
  <c r="E19" i="30"/>
  <c r="F19" i="30"/>
  <c r="G19" i="30"/>
  <c r="H19" i="30"/>
  <c r="D19" i="30"/>
  <c r="H40" i="28"/>
  <c r="A38" i="32" l="1"/>
  <c r="A18" i="32"/>
  <c r="A55" i="32"/>
  <c r="A22" i="32"/>
  <c r="E17" i="38"/>
  <c r="A28" i="32"/>
  <c r="B41" i="36"/>
  <c r="M19" i="35"/>
  <c r="C18" i="32"/>
  <c r="D18" i="32" s="1"/>
  <c r="G18" i="32" s="1"/>
  <c r="A24" i="32"/>
  <c r="A31" i="32"/>
  <c r="A40" i="32"/>
  <c r="A91" i="32"/>
  <c r="C91" i="32" s="1"/>
  <c r="A26" i="32"/>
  <c r="A34" i="32"/>
  <c r="A44" i="32"/>
  <c r="A65" i="32"/>
  <c r="A93" i="32"/>
  <c r="C93" i="32" s="1"/>
  <c r="A19" i="32"/>
  <c r="A20" i="32"/>
  <c r="A27" i="32"/>
  <c r="A35" i="32"/>
  <c r="A49" i="32"/>
  <c r="A67" i="32"/>
  <c r="A50" i="32"/>
  <c r="A71" i="32"/>
  <c r="F10" i="32"/>
  <c r="F18" i="32" s="1"/>
  <c r="A87" i="31"/>
  <c r="F87" i="31" s="1"/>
  <c r="A42" i="32"/>
  <c r="A54" i="32"/>
  <c r="A70" i="32"/>
  <c r="A97" i="32"/>
  <c r="C97" i="32" s="1"/>
  <c r="E19" i="38"/>
  <c r="A87" i="33"/>
  <c r="E87" i="33" s="1"/>
  <c r="G19" i="38"/>
  <c r="A26" i="31"/>
  <c r="C19" i="38"/>
  <c r="C18" i="31"/>
  <c r="C17" i="38"/>
  <c r="F10" i="31"/>
  <c r="F18" i="31" s="1"/>
  <c r="C18" i="38"/>
  <c r="A36" i="32"/>
  <c r="A43" i="32"/>
  <c r="A51" i="32"/>
  <c r="A66" i="32"/>
  <c r="A81" i="32"/>
  <c r="D81" i="32" s="1"/>
  <c r="F10" i="33"/>
  <c r="F18" i="33" s="1"/>
  <c r="C18" i="33"/>
  <c r="G17" i="38"/>
  <c r="A18" i="31"/>
  <c r="A23" i="33"/>
  <c r="N4" i="35"/>
  <c r="N5" i="35"/>
  <c r="A85" i="27"/>
  <c r="A81" i="27" s="1"/>
  <c r="A28" i="30" s="1"/>
  <c r="H6" i="28"/>
  <c r="A77" i="27"/>
  <c r="A27" i="30" s="1"/>
  <c r="B12" i="38" s="1"/>
  <c r="A74" i="27"/>
  <c r="A71" i="27" s="1"/>
  <c r="A26" i="30" s="1"/>
  <c r="B11" i="38" s="1"/>
  <c r="A47" i="27"/>
  <c r="A43" i="27" s="1"/>
  <c r="A28" i="25" s="1"/>
  <c r="Q3" i="35"/>
  <c r="F16" i="35"/>
  <c r="Q4" i="35"/>
  <c r="R5" i="35"/>
  <c r="B16" i="35"/>
  <c r="Q5" i="35"/>
  <c r="C16" i="35"/>
  <c r="I16" i="35"/>
  <c r="R4" i="35"/>
  <c r="Q6" i="35"/>
  <c r="E16" i="35"/>
  <c r="R3" i="35"/>
  <c r="G16" i="35"/>
  <c r="D16" i="35"/>
  <c r="H16" i="35"/>
  <c r="A18" i="33"/>
  <c r="B18" i="33" s="1"/>
  <c r="A19" i="33"/>
  <c r="A22" i="33"/>
  <c r="D87" i="33"/>
  <c r="B87" i="33"/>
  <c r="F87" i="33"/>
  <c r="F23" i="33"/>
  <c r="A21" i="33"/>
  <c r="A33" i="33"/>
  <c r="A37" i="33"/>
  <c r="A41" i="33"/>
  <c r="A69" i="33"/>
  <c r="A20" i="33"/>
  <c r="A24" i="33"/>
  <c r="A28" i="33"/>
  <c r="A32" i="33"/>
  <c r="A36" i="33"/>
  <c r="A40" i="33"/>
  <c r="A44" i="33"/>
  <c r="A46" i="33"/>
  <c r="A51" i="33"/>
  <c r="A54" i="33"/>
  <c r="A59" i="33"/>
  <c r="A62" i="33"/>
  <c r="A67" i="33"/>
  <c r="A70" i="33"/>
  <c r="A75" i="33"/>
  <c r="A78" i="33"/>
  <c r="A83" i="33"/>
  <c r="A86" i="33"/>
  <c r="A27" i="33"/>
  <c r="A31" i="33"/>
  <c r="A35" i="33"/>
  <c r="A39" i="33"/>
  <c r="A43" i="33"/>
  <c r="A49" i="33"/>
  <c r="A57" i="33"/>
  <c r="A65" i="33"/>
  <c r="A73" i="33"/>
  <c r="A81" i="33"/>
  <c r="A26" i="33"/>
  <c r="A30" i="33"/>
  <c r="A34" i="33"/>
  <c r="A38" i="33"/>
  <c r="A42" i="33"/>
  <c r="A47" i="33"/>
  <c r="A50" i="33"/>
  <c r="A55" i="33"/>
  <c r="A58" i="33"/>
  <c r="A63" i="33"/>
  <c r="A66" i="33"/>
  <c r="A71" i="33"/>
  <c r="A74" i="33"/>
  <c r="A79" i="33"/>
  <c r="A82" i="33"/>
  <c r="A101" i="33"/>
  <c r="A99" i="33"/>
  <c r="A97" i="33"/>
  <c r="A95" i="33"/>
  <c r="A93" i="33"/>
  <c r="A91" i="33"/>
  <c r="A89" i="33"/>
  <c r="A100" i="33"/>
  <c r="A98" i="33"/>
  <c r="A96" i="33"/>
  <c r="A94" i="33"/>
  <c r="A92" i="33"/>
  <c r="A90" i="33"/>
  <c r="A88" i="33"/>
  <c r="A84" i="33"/>
  <c r="A80" i="33"/>
  <c r="A76" i="33"/>
  <c r="A72" i="33"/>
  <c r="A68" i="33"/>
  <c r="A64" i="33"/>
  <c r="A60" i="33"/>
  <c r="A56" i="33"/>
  <c r="A52" i="33"/>
  <c r="A48" i="33"/>
  <c r="A25" i="33"/>
  <c r="A29" i="33"/>
  <c r="A45" i="33"/>
  <c r="A53" i="33"/>
  <c r="A61" i="33"/>
  <c r="A77" i="33"/>
  <c r="A85" i="33"/>
  <c r="A23" i="32"/>
  <c r="A30" i="32"/>
  <c r="A32" i="32"/>
  <c r="A39" i="32"/>
  <c r="A46" i="32"/>
  <c r="A58" i="32"/>
  <c r="A63" i="32"/>
  <c r="A73" i="32"/>
  <c r="A75" i="32"/>
  <c r="A78" i="32"/>
  <c r="C78" i="32" s="1"/>
  <c r="E81" i="32"/>
  <c r="A87" i="32"/>
  <c r="F87" i="32" s="1"/>
  <c r="A89" i="32"/>
  <c r="C89" i="32" s="1"/>
  <c r="D93" i="32"/>
  <c r="A101" i="32"/>
  <c r="C101" i="32" s="1"/>
  <c r="E93" i="32"/>
  <c r="A47" i="32"/>
  <c r="A57" i="32"/>
  <c r="A59" i="32"/>
  <c r="A62" i="32"/>
  <c r="A74" i="32"/>
  <c r="A79" i="32"/>
  <c r="F79" i="32" s="1"/>
  <c r="A82" i="32"/>
  <c r="A83" i="32"/>
  <c r="D83" i="32" s="1"/>
  <c r="A86" i="32"/>
  <c r="C86" i="32" s="1"/>
  <c r="E91" i="32"/>
  <c r="B18" i="32"/>
  <c r="B19" i="32" s="1"/>
  <c r="B20" i="32" s="1"/>
  <c r="F51" i="32"/>
  <c r="C81" i="32"/>
  <c r="F93" i="32"/>
  <c r="D97" i="32"/>
  <c r="B99" i="32"/>
  <c r="F101" i="32"/>
  <c r="A100" i="32"/>
  <c r="A98" i="32"/>
  <c r="A96" i="32"/>
  <c r="A94" i="32"/>
  <c r="A92" i="32"/>
  <c r="A90" i="32"/>
  <c r="A88" i="32"/>
  <c r="A84" i="32"/>
  <c r="A80" i="32"/>
  <c r="A76" i="32"/>
  <c r="A72" i="32"/>
  <c r="A68" i="32"/>
  <c r="A64" i="32"/>
  <c r="A60" i="32"/>
  <c r="A56" i="32"/>
  <c r="A52" i="32"/>
  <c r="A48" i="32"/>
  <c r="A21" i="32"/>
  <c r="A25" i="32"/>
  <c r="A29" i="32"/>
  <c r="A33" i="32"/>
  <c r="A37" i="32"/>
  <c r="A41" i="32"/>
  <c r="A45" i="32"/>
  <c r="A53" i="32"/>
  <c r="A61" i="32"/>
  <c r="A69" i="32"/>
  <c r="A77" i="32"/>
  <c r="E83" i="32"/>
  <c r="A85" i="32"/>
  <c r="B87" i="32"/>
  <c r="B93" i="32"/>
  <c r="A95" i="32"/>
  <c r="E97" i="32"/>
  <c r="D99" i="32"/>
  <c r="F78" i="32"/>
  <c r="F83" i="32"/>
  <c r="F89" i="32"/>
  <c r="F97" i="32"/>
  <c r="E99" i="32"/>
  <c r="F81" i="32"/>
  <c r="B81" i="32"/>
  <c r="B83" i="32"/>
  <c r="B89" i="32"/>
  <c r="B97" i="32"/>
  <c r="F99" i="32"/>
  <c r="E101" i="32"/>
  <c r="B18" i="31"/>
  <c r="C87" i="31"/>
  <c r="A21" i="31"/>
  <c r="A29" i="31"/>
  <c r="A37" i="31"/>
  <c r="A20" i="31"/>
  <c r="A24" i="31"/>
  <c r="A28" i="31"/>
  <c r="A36" i="31"/>
  <c r="A44" i="31"/>
  <c r="A46" i="31"/>
  <c r="A54" i="31"/>
  <c r="A59" i="31"/>
  <c r="A62" i="31"/>
  <c r="A67" i="31"/>
  <c r="A70" i="31"/>
  <c r="A75" i="31"/>
  <c r="A78" i="31"/>
  <c r="A19" i="31"/>
  <c r="A23" i="31"/>
  <c r="A27" i="31"/>
  <c r="A31" i="31"/>
  <c r="A35" i="31"/>
  <c r="A39" i="31"/>
  <c r="A43" i="31"/>
  <c r="A49" i="31"/>
  <c r="A57" i="31"/>
  <c r="A65" i="31"/>
  <c r="A73" i="31"/>
  <c r="A81" i="31"/>
  <c r="A30" i="31"/>
  <c r="A34" i="31"/>
  <c r="A38" i="31"/>
  <c r="A42" i="31"/>
  <c r="A47" i="31"/>
  <c r="A50" i="31"/>
  <c r="A55" i="31"/>
  <c r="A58" i="31"/>
  <c r="A63" i="31"/>
  <c r="A66" i="31"/>
  <c r="A71" i="31"/>
  <c r="A74" i="31"/>
  <c r="A79" i="31"/>
  <c r="A82" i="31"/>
  <c r="A25" i="31"/>
  <c r="A33" i="31"/>
  <c r="A41" i="31"/>
  <c r="A45" i="31"/>
  <c r="A53" i="31"/>
  <c r="A61" i="31"/>
  <c r="A69" i="31"/>
  <c r="A77" i="31"/>
  <c r="A85" i="31"/>
  <c r="A101" i="31"/>
  <c r="A99" i="31"/>
  <c r="A97" i="31"/>
  <c r="A95" i="31"/>
  <c r="A93" i="31"/>
  <c r="A91" i="31"/>
  <c r="A89" i="31"/>
  <c r="A86" i="31"/>
  <c r="A100" i="31"/>
  <c r="A98" i="31"/>
  <c r="A96" i="31"/>
  <c r="A94" i="31"/>
  <c r="A92" i="31"/>
  <c r="A90" i="31"/>
  <c r="A88" i="31"/>
  <c r="A84" i="31"/>
  <c r="A80" i="31"/>
  <c r="A76" i="31"/>
  <c r="A72" i="31"/>
  <c r="A68" i="31"/>
  <c r="A64" i="31"/>
  <c r="A60" i="31"/>
  <c r="A56" i="31"/>
  <c r="A52" i="31"/>
  <c r="A48" i="31"/>
  <c r="A32" i="31"/>
  <c r="A40" i="31"/>
  <c r="A51" i="31"/>
  <c r="A83" i="31"/>
  <c r="D87" i="31" l="1"/>
  <c r="B87" i="31"/>
  <c r="E87" i="31"/>
  <c r="D91" i="32"/>
  <c r="B79" i="32"/>
  <c r="D78" i="32"/>
  <c r="F91" i="32"/>
  <c r="E78" i="32"/>
  <c r="B78" i="32"/>
  <c r="B91" i="32"/>
  <c r="E18" i="32"/>
  <c r="C87" i="33"/>
  <c r="D18" i="31"/>
  <c r="G18" i="31" s="1"/>
  <c r="D18" i="33"/>
  <c r="G18" i="33" s="1"/>
  <c r="M37" i="35"/>
  <c r="B19" i="33"/>
  <c r="C83" i="32"/>
  <c r="B86" i="32"/>
  <c r="F86" i="32"/>
  <c r="E89" i="32"/>
  <c r="E86" i="32"/>
  <c r="D89" i="32"/>
  <c r="D86" i="32"/>
  <c r="B4" i="35"/>
  <c r="B37" i="38" s="1"/>
  <c r="B40" i="38" s="1"/>
  <c r="N6" i="35"/>
  <c r="F63" i="32"/>
  <c r="F57" i="32"/>
  <c r="F50" i="32"/>
  <c r="F73" i="32"/>
  <c r="F74" i="32"/>
  <c r="F47" i="32"/>
  <c r="F65" i="32"/>
  <c r="F67" i="32"/>
  <c r="F31" i="32"/>
  <c r="F22" i="33"/>
  <c r="F19" i="33"/>
  <c r="F29" i="33"/>
  <c r="D88" i="33"/>
  <c r="F88" i="33"/>
  <c r="B88" i="33"/>
  <c r="E88" i="33"/>
  <c r="C88" i="33"/>
  <c r="F61" i="33"/>
  <c r="F60" i="33"/>
  <c r="D90" i="33"/>
  <c r="C90" i="33"/>
  <c r="F90" i="33"/>
  <c r="B90" i="33"/>
  <c r="E90" i="33"/>
  <c r="F93" i="33"/>
  <c r="B93" i="33"/>
  <c r="E93" i="33"/>
  <c r="D93" i="33"/>
  <c r="C93" i="33"/>
  <c r="D71" i="33"/>
  <c r="B71" i="33"/>
  <c r="F71" i="33"/>
  <c r="E71" i="33"/>
  <c r="C71" i="33"/>
  <c r="F55" i="33"/>
  <c r="F81" i="33"/>
  <c r="B81" i="33"/>
  <c r="D81" i="33"/>
  <c r="C81" i="33"/>
  <c r="E81" i="33"/>
  <c r="F49" i="33"/>
  <c r="F31" i="33"/>
  <c r="F62" i="33"/>
  <c r="F46" i="33"/>
  <c r="F32" i="33"/>
  <c r="F21" i="33"/>
  <c r="F53" i="33"/>
  <c r="F48" i="33"/>
  <c r="F64" i="33"/>
  <c r="E80" i="33"/>
  <c r="F80" i="33"/>
  <c r="D80" i="33"/>
  <c r="C80" i="33"/>
  <c r="B80" i="33"/>
  <c r="D92" i="33"/>
  <c r="C92" i="33"/>
  <c r="F92" i="33"/>
  <c r="B92" i="33"/>
  <c r="E92" i="33"/>
  <c r="D100" i="33"/>
  <c r="C100" i="33"/>
  <c r="F100" i="33"/>
  <c r="B100" i="33"/>
  <c r="E100" i="33"/>
  <c r="F95" i="33"/>
  <c r="B95" i="33"/>
  <c r="E95" i="33"/>
  <c r="D95" i="33"/>
  <c r="C95" i="33"/>
  <c r="C82" i="33"/>
  <c r="B82" i="33"/>
  <c r="F82" i="33"/>
  <c r="E82" i="33"/>
  <c r="D82" i="33"/>
  <c r="C66" i="33"/>
  <c r="F66" i="33"/>
  <c r="E66" i="33"/>
  <c r="D66" i="33"/>
  <c r="B66" i="33"/>
  <c r="F50" i="33"/>
  <c r="F34" i="33"/>
  <c r="F73" i="33"/>
  <c r="B73" i="33"/>
  <c r="D73" i="33"/>
  <c r="C73" i="33"/>
  <c r="E73" i="33"/>
  <c r="F43" i="33"/>
  <c r="F27" i="33"/>
  <c r="D75" i="33"/>
  <c r="E75" i="33"/>
  <c r="C75" i="33"/>
  <c r="B75" i="33"/>
  <c r="F75" i="33"/>
  <c r="F59" i="33"/>
  <c r="F44" i="33"/>
  <c r="F28" i="33"/>
  <c r="F41" i="33"/>
  <c r="F9" i="33"/>
  <c r="G21" i="38" s="1"/>
  <c r="C19" i="33"/>
  <c r="D19" i="33" s="1"/>
  <c r="G19" i="33" s="1"/>
  <c r="F85" i="33"/>
  <c r="B85" i="33"/>
  <c r="E85" i="33"/>
  <c r="D85" i="33"/>
  <c r="C85" i="33"/>
  <c r="F45" i="33"/>
  <c r="F52" i="33"/>
  <c r="E68" i="33"/>
  <c r="C68" i="33"/>
  <c r="B68" i="33"/>
  <c r="F68" i="33"/>
  <c r="D68" i="33"/>
  <c r="E84" i="33"/>
  <c r="C84" i="33"/>
  <c r="B84" i="33"/>
  <c r="F84" i="33"/>
  <c r="D84" i="33"/>
  <c r="D94" i="33"/>
  <c r="C94" i="33"/>
  <c r="F94" i="33"/>
  <c r="B94" i="33"/>
  <c r="E94" i="33"/>
  <c r="F89" i="33"/>
  <c r="B89" i="33"/>
  <c r="E89" i="33"/>
  <c r="D89" i="33"/>
  <c r="C89" i="33"/>
  <c r="F97" i="33"/>
  <c r="B97" i="33"/>
  <c r="E97" i="33"/>
  <c r="D97" i="33"/>
  <c r="C97" i="33"/>
  <c r="D79" i="33"/>
  <c r="B79" i="33"/>
  <c r="F79" i="33"/>
  <c r="E79" i="33"/>
  <c r="C79" i="33"/>
  <c r="F63" i="33"/>
  <c r="F47" i="33"/>
  <c r="F30" i="33"/>
  <c r="F65" i="33"/>
  <c r="F39" i="33"/>
  <c r="C86" i="33"/>
  <c r="E86" i="33"/>
  <c r="D86" i="33"/>
  <c r="B86" i="33"/>
  <c r="F86" i="33"/>
  <c r="C70" i="33"/>
  <c r="E70" i="33"/>
  <c r="D70" i="33"/>
  <c r="B70" i="33"/>
  <c r="F70" i="33"/>
  <c r="F54" i="33"/>
  <c r="F40" i="33"/>
  <c r="F24" i="33"/>
  <c r="F37" i="33"/>
  <c r="F77" i="33"/>
  <c r="B77" i="33"/>
  <c r="E77" i="33"/>
  <c r="D77" i="33"/>
  <c r="C77" i="33"/>
  <c r="F56" i="33"/>
  <c r="E72" i="33"/>
  <c r="F72" i="33"/>
  <c r="D72" i="33"/>
  <c r="C72" i="33"/>
  <c r="B72" i="33"/>
  <c r="D96" i="33"/>
  <c r="C96" i="33"/>
  <c r="F96" i="33"/>
  <c r="B96" i="33"/>
  <c r="E96" i="33"/>
  <c r="F91" i="33"/>
  <c r="B91" i="33"/>
  <c r="E91" i="33"/>
  <c r="D91" i="33"/>
  <c r="C91" i="33"/>
  <c r="F99" i="33"/>
  <c r="B99" i="33"/>
  <c r="E99" i="33"/>
  <c r="D99" i="33"/>
  <c r="C99" i="33"/>
  <c r="C74" i="33"/>
  <c r="B74" i="33"/>
  <c r="F74" i="33"/>
  <c r="E74" i="33"/>
  <c r="D74" i="33"/>
  <c r="F58" i="33"/>
  <c r="F42" i="33"/>
  <c r="F26" i="33"/>
  <c r="F57" i="33"/>
  <c r="F35" i="33"/>
  <c r="D83" i="33"/>
  <c r="E83" i="33"/>
  <c r="C83" i="33"/>
  <c r="B83" i="33"/>
  <c r="F83" i="33"/>
  <c r="D67" i="33"/>
  <c r="C67" i="33"/>
  <c r="B67" i="33"/>
  <c r="F67" i="33"/>
  <c r="E67" i="33"/>
  <c r="F51" i="33"/>
  <c r="F36" i="33"/>
  <c r="B20" i="33"/>
  <c r="B21" i="33" s="1"/>
  <c r="B22" i="33" s="1"/>
  <c r="B23" i="33" s="1"/>
  <c r="B24" i="33" s="1"/>
  <c r="B25" i="33" s="1"/>
  <c r="B26" i="33" s="1"/>
  <c r="B27" i="33" s="1"/>
  <c r="B28" i="33" s="1"/>
  <c r="B29" i="33" s="1"/>
  <c r="B30" i="33" s="1"/>
  <c r="B31" i="33" s="1"/>
  <c r="B32" i="33" s="1"/>
  <c r="B33" i="33" s="1"/>
  <c r="B34" i="33" s="1"/>
  <c r="B35" i="33" s="1"/>
  <c r="B36" i="33" s="1"/>
  <c r="B37" i="33" s="1"/>
  <c r="B38" i="33" s="1"/>
  <c r="B39" i="33" s="1"/>
  <c r="B40" i="33" s="1"/>
  <c r="B41" i="33" s="1"/>
  <c r="B42" i="33" s="1"/>
  <c r="B43" i="33" s="1"/>
  <c r="B44" i="33" s="1"/>
  <c r="B45" i="33" s="1"/>
  <c r="B46" i="33" s="1"/>
  <c r="B47" i="33" s="1"/>
  <c r="B48" i="33" s="1"/>
  <c r="B49" i="33" s="1"/>
  <c r="B50" i="33" s="1"/>
  <c r="B51" i="33" s="1"/>
  <c r="B52" i="33" s="1"/>
  <c r="B53" i="33" s="1"/>
  <c r="B54" i="33" s="1"/>
  <c r="B55" i="33" s="1"/>
  <c r="B56" i="33" s="1"/>
  <c r="B57" i="33" s="1"/>
  <c r="B58" i="33" s="1"/>
  <c r="B59" i="33" s="1"/>
  <c r="B60" i="33" s="1"/>
  <c r="B61" i="33" s="1"/>
  <c r="B62" i="33" s="1"/>
  <c r="B63" i="33" s="1"/>
  <c r="B64" i="33" s="1"/>
  <c r="B65" i="33" s="1"/>
  <c r="F20" i="33"/>
  <c r="F33" i="33"/>
  <c r="F25" i="33"/>
  <c r="E76" i="33"/>
  <c r="C76" i="33"/>
  <c r="B76" i="33"/>
  <c r="F76" i="33"/>
  <c r="D76" i="33"/>
  <c r="D98" i="33"/>
  <c r="C98" i="33"/>
  <c r="F98" i="33"/>
  <c r="B98" i="33"/>
  <c r="E98" i="33"/>
  <c r="F101" i="33"/>
  <c r="B101" i="33"/>
  <c r="E101" i="33"/>
  <c r="D101" i="33"/>
  <c r="C101" i="33"/>
  <c r="F38" i="33"/>
  <c r="C78" i="33"/>
  <c r="E78" i="33"/>
  <c r="D78" i="33"/>
  <c r="B78" i="33"/>
  <c r="F78" i="33"/>
  <c r="F69" i="33"/>
  <c r="B69" i="33"/>
  <c r="E69" i="33"/>
  <c r="D69" i="33"/>
  <c r="C69" i="33"/>
  <c r="D87" i="32"/>
  <c r="E87" i="32"/>
  <c r="C87" i="32"/>
  <c r="C82" i="32"/>
  <c r="E82" i="32"/>
  <c r="D82" i="32"/>
  <c r="B82" i="32"/>
  <c r="F82" i="32"/>
  <c r="D79" i="32"/>
  <c r="E79" i="32"/>
  <c r="C79" i="32"/>
  <c r="D101" i="32"/>
  <c r="B101" i="32"/>
  <c r="F58" i="32"/>
  <c r="F59" i="32"/>
  <c r="F43" i="32"/>
  <c r="F40" i="32"/>
  <c r="F30" i="32"/>
  <c r="F55" i="32"/>
  <c r="F49" i="32"/>
  <c r="F75" i="32"/>
  <c r="F35" i="32"/>
  <c r="F26" i="32"/>
  <c r="F28" i="32"/>
  <c r="F22" i="32"/>
  <c r="F66" i="32"/>
  <c r="F27" i="32"/>
  <c r="F41" i="32"/>
  <c r="E84" i="32"/>
  <c r="F84" i="32"/>
  <c r="D84" i="32"/>
  <c r="C84" i="32"/>
  <c r="B84" i="32"/>
  <c r="F61" i="32"/>
  <c r="F29" i="32"/>
  <c r="F56" i="32"/>
  <c r="F72" i="32"/>
  <c r="E88" i="32"/>
  <c r="C88" i="32"/>
  <c r="B88" i="32"/>
  <c r="F88" i="32"/>
  <c r="D88" i="32"/>
  <c r="E96" i="32"/>
  <c r="C96" i="32"/>
  <c r="B96" i="32"/>
  <c r="F96" i="32"/>
  <c r="D96" i="32"/>
  <c r="C19" i="32"/>
  <c r="F20" i="32"/>
  <c r="F46" i="32"/>
  <c r="F24" i="32"/>
  <c r="F9" i="32"/>
  <c r="E21" i="38" s="1"/>
  <c r="F44" i="32"/>
  <c r="F54" i="32"/>
  <c r="F70" i="32"/>
  <c r="F62" i="32"/>
  <c r="F69" i="32"/>
  <c r="F33" i="32"/>
  <c r="F21" i="32"/>
  <c r="B21" i="32"/>
  <c r="B22" i="32" s="1"/>
  <c r="B23" i="32" s="1"/>
  <c r="B24" i="32" s="1"/>
  <c r="B25" i="32" s="1"/>
  <c r="F60" i="32"/>
  <c r="F76" i="32"/>
  <c r="E90" i="32"/>
  <c r="B90" i="32"/>
  <c r="F90" i="32"/>
  <c r="D90" i="32"/>
  <c r="C90" i="32"/>
  <c r="E98" i="32"/>
  <c r="B98" i="32"/>
  <c r="F98" i="32"/>
  <c r="D98" i="32"/>
  <c r="C98" i="32"/>
  <c r="F71" i="32"/>
  <c r="F36" i="32"/>
  <c r="F32" i="32"/>
  <c r="F38" i="32"/>
  <c r="F85" i="32"/>
  <c r="B85" i="32"/>
  <c r="D85" i="32"/>
  <c r="C85" i="32"/>
  <c r="E85" i="32"/>
  <c r="F53" i="32"/>
  <c r="F37" i="32"/>
  <c r="F48" i="32"/>
  <c r="F64" i="32"/>
  <c r="E80" i="32"/>
  <c r="C80" i="32"/>
  <c r="B80" i="32"/>
  <c r="F80" i="32"/>
  <c r="D80" i="32"/>
  <c r="E92" i="32"/>
  <c r="F92" i="32"/>
  <c r="D92" i="32"/>
  <c r="C92" i="32"/>
  <c r="B92" i="32"/>
  <c r="E100" i="32"/>
  <c r="F100" i="32"/>
  <c r="D100" i="32"/>
  <c r="C100" i="32"/>
  <c r="B100" i="32"/>
  <c r="F34" i="32"/>
  <c r="F77" i="32"/>
  <c r="F25" i="32"/>
  <c r="F52" i="32"/>
  <c r="F68" i="32"/>
  <c r="E94" i="32"/>
  <c r="D94" i="32"/>
  <c r="C94" i="32"/>
  <c r="B94" i="32"/>
  <c r="F94" i="32"/>
  <c r="F23" i="32"/>
  <c r="F19" i="32"/>
  <c r="C95" i="32"/>
  <c r="D95" i="32"/>
  <c r="B95" i="32"/>
  <c r="F95" i="32"/>
  <c r="E95" i="32"/>
  <c r="F45" i="32"/>
  <c r="F39" i="32"/>
  <c r="F42" i="32"/>
  <c r="E84" i="31"/>
  <c r="D84" i="31"/>
  <c r="C84" i="31"/>
  <c r="B84" i="31"/>
  <c r="F84" i="31"/>
  <c r="D85" i="31"/>
  <c r="F85" i="31"/>
  <c r="B85" i="31"/>
  <c r="E85" i="31"/>
  <c r="C85" i="31"/>
  <c r="F55" i="31"/>
  <c r="F32" i="31"/>
  <c r="C88" i="31"/>
  <c r="E88" i="31"/>
  <c r="B88" i="31"/>
  <c r="F88" i="31"/>
  <c r="D88" i="31"/>
  <c r="E89" i="31"/>
  <c r="C89" i="31"/>
  <c r="F89" i="31"/>
  <c r="D89" i="31"/>
  <c r="B89" i="31"/>
  <c r="F77" i="31"/>
  <c r="F66" i="31"/>
  <c r="F39" i="31"/>
  <c r="F9" i="31"/>
  <c r="F60" i="31"/>
  <c r="F76" i="31"/>
  <c r="C90" i="31"/>
  <c r="E90" i="31"/>
  <c r="F90" i="31"/>
  <c r="D90" i="31"/>
  <c r="B90" i="31"/>
  <c r="C98" i="31"/>
  <c r="E98" i="31"/>
  <c r="F98" i="31"/>
  <c r="D98" i="31"/>
  <c r="B98" i="31"/>
  <c r="E99" i="31"/>
  <c r="C99" i="31"/>
  <c r="B99" i="31"/>
  <c r="F99" i="31"/>
  <c r="D99" i="31"/>
  <c r="F69" i="31"/>
  <c r="F41" i="31"/>
  <c r="D79" i="31"/>
  <c r="B79" i="31"/>
  <c r="F79" i="31"/>
  <c r="E79" i="31"/>
  <c r="C79" i="31"/>
  <c r="F63" i="31"/>
  <c r="F30" i="31"/>
  <c r="F57" i="31"/>
  <c r="F35" i="31"/>
  <c r="F19" i="31"/>
  <c r="B19" i="31"/>
  <c r="B20" i="31" s="1"/>
  <c r="B21" i="31" s="1"/>
  <c r="B22" i="31" s="1"/>
  <c r="B23" i="31" s="1"/>
  <c r="B24" i="31" s="1"/>
  <c r="B25" i="31" s="1"/>
  <c r="B26" i="31" s="1"/>
  <c r="B27" i="31" s="1"/>
  <c r="B28" i="31" s="1"/>
  <c r="B29" i="31" s="1"/>
  <c r="B30" i="31" s="1"/>
  <c r="B31" i="31" s="1"/>
  <c r="B32" i="31" s="1"/>
  <c r="B33" i="31" s="1"/>
  <c r="B34" i="31" s="1"/>
  <c r="B35" i="31" s="1"/>
  <c r="B36" i="31" s="1"/>
  <c r="B37" i="31" s="1"/>
  <c r="B38" i="31" s="1"/>
  <c r="B39" i="31" s="1"/>
  <c r="B40" i="31" s="1"/>
  <c r="B41" i="31" s="1"/>
  <c r="B42" i="31" s="1"/>
  <c r="B43" i="31" s="1"/>
  <c r="B44" i="31" s="1"/>
  <c r="B45" i="31" s="1"/>
  <c r="B46" i="31" s="1"/>
  <c r="B47" i="31" s="1"/>
  <c r="B48" i="31" s="1"/>
  <c r="B49" i="31" s="1"/>
  <c r="B50" i="31" s="1"/>
  <c r="B51" i="31" s="1"/>
  <c r="B52" i="31" s="1"/>
  <c r="B53" i="31" s="1"/>
  <c r="B54" i="31" s="1"/>
  <c r="B55" i="31" s="1"/>
  <c r="B56" i="31" s="1"/>
  <c r="B57" i="31" s="1"/>
  <c r="B58" i="31" s="1"/>
  <c r="B59" i="31" s="1"/>
  <c r="B60" i="31" s="1"/>
  <c r="B61" i="31" s="1"/>
  <c r="B62" i="31" s="1"/>
  <c r="B63" i="31" s="1"/>
  <c r="B64" i="31" s="1"/>
  <c r="B65" i="31" s="1"/>
  <c r="B66" i="31" s="1"/>
  <c r="B67" i="31" s="1"/>
  <c r="B68" i="31" s="1"/>
  <c r="B69" i="31" s="1"/>
  <c r="B70" i="31" s="1"/>
  <c r="B71" i="31" s="1"/>
  <c r="B72" i="31" s="1"/>
  <c r="B73" i="31" s="1"/>
  <c r="B74" i="31" s="1"/>
  <c r="B75" i="31" s="1"/>
  <c r="B76" i="31" s="1"/>
  <c r="B77" i="31" s="1"/>
  <c r="F67" i="31"/>
  <c r="F46" i="31"/>
  <c r="F24" i="31"/>
  <c r="F21" i="31"/>
  <c r="F51" i="31"/>
  <c r="F48" i="31"/>
  <c r="F64" i="31"/>
  <c r="E80" i="31"/>
  <c r="F80" i="31"/>
  <c r="D80" i="31"/>
  <c r="C80" i="31"/>
  <c r="B80" i="31"/>
  <c r="C92" i="31"/>
  <c r="E92" i="31"/>
  <c r="D92" i="31"/>
  <c r="B92" i="31"/>
  <c r="F92" i="31"/>
  <c r="C100" i="31"/>
  <c r="E100" i="31"/>
  <c r="B100" i="31"/>
  <c r="F100" i="31"/>
  <c r="D100" i="31"/>
  <c r="E93" i="31"/>
  <c r="C93" i="31"/>
  <c r="F93" i="31"/>
  <c r="D93" i="31"/>
  <c r="B93" i="31"/>
  <c r="E101" i="31"/>
  <c r="C101" i="31"/>
  <c r="F101" i="31"/>
  <c r="D101" i="31"/>
  <c r="B101" i="31"/>
  <c r="F61" i="31"/>
  <c r="F33" i="31"/>
  <c r="F74" i="31"/>
  <c r="F58" i="31"/>
  <c r="F42" i="31"/>
  <c r="F81" i="31"/>
  <c r="B81" i="31"/>
  <c r="D81" i="31"/>
  <c r="C81" i="31"/>
  <c r="E81" i="31"/>
  <c r="F49" i="31"/>
  <c r="F31" i="31"/>
  <c r="C78" i="31"/>
  <c r="E78" i="31"/>
  <c r="D78" i="31"/>
  <c r="B78" i="31"/>
  <c r="F78" i="31"/>
  <c r="F62" i="31"/>
  <c r="F44" i="31"/>
  <c r="F20" i="31"/>
  <c r="F40" i="31"/>
  <c r="E95" i="31"/>
  <c r="C95" i="31"/>
  <c r="B95" i="31"/>
  <c r="F95" i="31"/>
  <c r="D95" i="31"/>
  <c r="F71" i="31"/>
  <c r="F73" i="31"/>
  <c r="F43" i="31"/>
  <c r="F27" i="31"/>
  <c r="F75" i="31"/>
  <c r="F59" i="31"/>
  <c r="F36" i="31"/>
  <c r="F37" i="31"/>
  <c r="C94" i="31"/>
  <c r="E94" i="31"/>
  <c r="F94" i="31"/>
  <c r="D94" i="31"/>
  <c r="B94" i="31"/>
  <c r="F25" i="31"/>
  <c r="C96" i="31"/>
  <c r="E96" i="31"/>
  <c r="D96" i="31"/>
  <c r="B96" i="31"/>
  <c r="F96" i="31"/>
  <c r="C82" i="31"/>
  <c r="B82" i="31"/>
  <c r="F82" i="31"/>
  <c r="E82" i="31"/>
  <c r="D82" i="31"/>
  <c r="F50" i="31"/>
  <c r="F65" i="31"/>
  <c r="F23" i="31"/>
  <c r="F70" i="31"/>
  <c r="F54" i="31"/>
  <c r="F28" i="31"/>
  <c r="F29" i="31"/>
  <c r="F22" i="31"/>
  <c r="F26" i="31"/>
  <c r="F52" i="31"/>
  <c r="F68" i="31"/>
  <c r="E86" i="31"/>
  <c r="C86" i="31"/>
  <c r="B86" i="31"/>
  <c r="F86" i="31"/>
  <c r="D86" i="31"/>
  <c r="F53" i="31"/>
  <c r="F38" i="31"/>
  <c r="F56" i="31"/>
  <c r="F72" i="31"/>
  <c r="E97" i="31"/>
  <c r="C97" i="31"/>
  <c r="F97" i="31"/>
  <c r="D97" i="31"/>
  <c r="B97" i="31"/>
  <c r="F45" i="31"/>
  <c r="F34" i="31"/>
  <c r="D83" i="31"/>
  <c r="E83" i="31"/>
  <c r="C83" i="31"/>
  <c r="B83" i="31"/>
  <c r="F83" i="31"/>
  <c r="E91" i="31"/>
  <c r="C91" i="31"/>
  <c r="B91" i="31"/>
  <c r="F91" i="31"/>
  <c r="D91" i="31"/>
  <c r="F47" i="31"/>
  <c r="E18" i="31" l="1"/>
  <c r="C19" i="31" s="1"/>
  <c r="D19" i="31" s="1"/>
  <c r="G19" i="31" s="1"/>
  <c r="E18" i="33"/>
  <c r="C21" i="38"/>
  <c r="B26" i="38"/>
  <c r="A26" i="38"/>
  <c r="C4" i="35"/>
  <c r="C37" i="38" s="1"/>
  <c r="B26" i="32"/>
  <c r="B27" i="32" s="1"/>
  <c r="B28" i="32" s="1"/>
  <c r="B29" i="32" s="1"/>
  <c r="B30" i="32" s="1"/>
  <c r="B31" i="32" s="1"/>
  <c r="B32" i="32" s="1"/>
  <c r="B33" i="32" s="1"/>
  <c r="B34" i="32" s="1"/>
  <c r="B35" i="32" s="1"/>
  <c r="B36" i="32" s="1"/>
  <c r="B37" i="32" s="1"/>
  <c r="B38" i="32" s="1"/>
  <c r="B39" i="32" s="1"/>
  <c r="B40" i="32" s="1"/>
  <c r="B41" i="32" s="1"/>
  <c r="B42" i="32" s="1"/>
  <c r="B43" i="32" s="1"/>
  <c r="B44" i="32" s="1"/>
  <c r="B45" i="32" s="1"/>
  <c r="B46" i="32" s="1"/>
  <c r="B47" i="32" s="1"/>
  <c r="B48" i="32" s="1"/>
  <c r="B49" i="32" s="1"/>
  <c r="B50" i="32" s="1"/>
  <c r="B51" i="32" s="1"/>
  <c r="B52" i="32" s="1"/>
  <c r="B53" i="32" s="1"/>
  <c r="B54" i="32" s="1"/>
  <c r="B55" i="32" s="1"/>
  <c r="B56" i="32" s="1"/>
  <c r="B57" i="32" s="1"/>
  <c r="B58" i="32" s="1"/>
  <c r="B59" i="32" s="1"/>
  <c r="B60" i="32" s="1"/>
  <c r="B61" i="32" s="1"/>
  <c r="B62" i="32" s="1"/>
  <c r="B63" i="32" s="1"/>
  <c r="B64" i="32" s="1"/>
  <c r="B65" i="32" s="1"/>
  <c r="B66" i="32" s="1"/>
  <c r="B67" i="32" s="1"/>
  <c r="B68" i="32" s="1"/>
  <c r="B69" i="32" s="1"/>
  <c r="B70" i="32" s="1"/>
  <c r="B71" i="32" s="1"/>
  <c r="B72" i="32" s="1"/>
  <c r="B73" i="32" s="1"/>
  <c r="B74" i="32" s="1"/>
  <c r="B75" i="32" s="1"/>
  <c r="B76" i="32" s="1"/>
  <c r="B77" i="32" s="1"/>
  <c r="E19" i="33"/>
  <c r="C20" i="33" s="1"/>
  <c r="D19" i="32"/>
  <c r="G19" i="32" s="1"/>
  <c r="E19" i="31"/>
  <c r="C20" i="31" s="1"/>
  <c r="D4" i="35" l="1"/>
  <c r="D37" i="38" s="1"/>
  <c r="D20" i="33"/>
  <c r="G20" i="33" s="1"/>
  <c r="E19" i="32"/>
  <c r="C20" i="32" s="1"/>
  <c r="D20" i="31"/>
  <c r="E4" i="35" l="1"/>
  <c r="E37" i="38" s="1"/>
  <c r="G20" i="31"/>
  <c r="E20" i="33"/>
  <c r="C21" i="33" s="1"/>
  <c r="D20" i="32"/>
  <c r="G20" i="32" s="1"/>
  <c r="E20" i="31"/>
  <c r="F4" i="35" l="1"/>
  <c r="F37" i="38" s="1"/>
  <c r="C21" i="31"/>
  <c r="D21" i="31" s="1"/>
  <c r="D21" i="33"/>
  <c r="G21" i="33" s="1"/>
  <c r="E20" i="32"/>
  <c r="C21" i="32" s="1"/>
  <c r="G4" i="35" l="1"/>
  <c r="G37" i="38" s="1"/>
  <c r="G21" i="31"/>
  <c r="E21" i="33"/>
  <c r="C22" i="33" s="1"/>
  <c r="D21" i="32"/>
  <c r="G21" i="32" s="1"/>
  <c r="E21" i="31"/>
  <c r="H4" i="35" l="1"/>
  <c r="H37" i="38" s="1"/>
  <c r="C22" i="31"/>
  <c r="D22" i="31" s="1"/>
  <c r="D22" i="33"/>
  <c r="G22" i="33" s="1"/>
  <c r="E21" i="32"/>
  <c r="C22" i="32" s="1"/>
  <c r="I4" i="35" l="1"/>
  <c r="I37" i="38" s="1"/>
  <c r="E22" i="31"/>
  <c r="G22" i="31"/>
  <c r="E22" i="33"/>
  <c r="C23" i="33" s="1"/>
  <c r="D22" i="32"/>
  <c r="C23" i="31" l="1"/>
  <c r="D23" i="31" s="1"/>
  <c r="G23" i="31" s="1"/>
  <c r="E22" i="32"/>
  <c r="C23" i="32" s="1"/>
  <c r="D23" i="32" s="1"/>
  <c r="E23" i="32" s="1"/>
  <c r="C24" i="32" s="1"/>
  <c r="G22" i="32"/>
  <c r="D23" i="33"/>
  <c r="E23" i="31" l="1"/>
  <c r="G23" i="32"/>
  <c r="E23" i="33"/>
  <c r="C24" i="33" s="1"/>
  <c r="D24" i="33" s="1"/>
  <c r="E24" i="33" s="1"/>
  <c r="C25" i="33" s="1"/>
  <c r="G23" i="33"/>
  <c r="D24" i="32"/>
  <c r="E24" i="32" s="1"/>
  <c r="C25" i="32" s="1"/>
  <c r="C24" i="31" l="1"/>
  <c r="D24" i="31" s="1"/>
  <c r="G24" i="32"/>
  <c r="G24" i="33"/>
  <c r="D25" i="33"/>
  <c r="E25" i="33" s="1"/>
  <c r="C26" i="33" s="1"/>
  <c r="D25" i="32"/>
  <c r="E25" i="32" s="1"/>
  <c r="C26" i="32" s="1"/>
  <c r="E24" i="31" l="1"/>
  <c r="G24" i="31"/>
  <c r="G25" i="32"/>
  <c r="G25" i="33"/>
  <c r="D26" i="33"/>
  <c r="E26" i="33" s="1"/>
  <c r="C27" i="33" s="1"/>
  <c r="D26" i="32"/>
  <c r="E26" i="32" s="1"/>
  <c r="C27" i="32" s="1"/>
  <c r="C25" i="31" l="1"/>
  <c r="D25" i="31" s="1"/>
  <c r="G26" i="32"/>
  <c r="G26" i="33"/>
  <c r="D27" i="33"/>
  <c r="E27" i="33" s="1"/>
  <c r="C28" i="33" s="1"/>
  <c r="D27" i="32"/>
  <c r="E27" i="32" s="1"/>
  <c r="C28" i="32" s="1"/>
  <c r="E25" i="31" l="1"/>
  <c r="G25" i="31"/>
  <c r="G27" i="32"/>
  <c r="G27" i="33"/>
  <c r="D28" i="33"/>
  <c r="E28" i="33" s="1"/>
  <c r="C29" i="33" s="1"/>
  <c r="D28" i="32"/>
  <c r="E28" i="32" s="1"/>
  <c r="C29" i="32" s="1"/>
  <c r="C26" i="31" l="1"/>
  <c r="G28" i="32"/>
  <c r="G28" i="33"/>
  <c r="D29" i="33"/>
  <c r="E29" i="33" s="1"/>
  <c r="C30" i="33" s="1"/>
  <c r="D29" i="32"/>
  <c r="E29" i="32" s="1"/>
  <c r="C30" i="32" s="1"/>
  <c r="D26" i="31" l="1"/>
  <c r="G29" i="32"/>
  <c r="G29" i="33"/>
  <c r="D30" i="33"/>
  <c r="E30" i="33" s="1"/>
  <c r="C31" i="33" s="1"/>
  <c r="D30" i="32"/>
  <c r="E30" i="32" s="1"/>
  <c r="C31" i="32" s="1"/>
  <c r="E26" i="31" l="1"/>
  <c r="C27" i="31" s="1"/>
  <c r="D27" i="31" s="1"/>
  <c r="E27" i="31" s="1"/>
  <c r="C28" i="31" s="1"/>
  <c r="D28" i="31" s="1"/>
  <c r="E28" i="31" s="1"/>
  <c r="C29" i="31" s="1"/>
  <c r="D29" i="31" s="1"/>
  <c r="E29" i="31" s="1"/>
  <c r="C30" i="31" s="1"/>
  <c r="D30" i="31" s="1"/>
  <c r="E30" i="31" s="1"/>
  <c r="C31" i="31" s="1"/>
  <c r="D31" i="31" s="1"/>
  <c r="E31" i="31" s="1"/>
  <c r="C32" i="31" s="1"/>
  <c r="D32" i="31" s="1"/>
  <c r="E32" i="31" s="1"/>
  <c r="C33" i="31" s="1"/>
  <c r="G26" i="31"/>
  <c r="G30" i="32"/>
  <c r="G30" i="33"/>
  <c r="D31" i="33"/>
  <c r="E31" i="33" s="1"/>
  <c r="C32" i="33" s="1"/>
  <c r="D31" i="32"/>
  <c r="E31" i="32" s="1"/>
  <c r="C32" i="32" s="1"/>
  <c r="G27" i="31" l="1"/>
  <c r="G28" i="31" s="1"/>
  <c r="G29" i="31" s="1"/>
  <c r="G30" i="31" s="1"/>
  <c r="G31" i="31" s="1"/>
  <c r="G32" i="31" s="1"/>
  <c r="G31" i="32"/>
  <c r="G31" i="33"/>
  <c r="D32" i="33"/>
  <c r="E32" i="33" s="1"/>
  <c r="C33" i="33" s="1"/>
  <c r="D32" i="32"/>
  <c r="E32" i="32" s="1"/>
  <c r="C33" i="32" s="1"/>
  <c r="D33" i="31"/>
  <c r="E33" i="31" s="1"/>
  <c r="C34" i="31" s="1"/>
  <c r="G32" i="32" l="1"/>
  <c r="G33" i="31"/>
  <c r="G32" i="33"/>
  <c r="D33" i="33"/>
  <c r="E33" i="33" s="1"/>
  <c r="C34" i="33" s="1"/>
  <c r="D33" i="32"/>
  <c r="E33" i="32" s="1"/>
  <c r="C34" i="32" s="1"/>
  <c r="D34" i="31"/>
  <c r="E34" i="31" s="1"/>
  <c r="C35" i="31" s="1"/>
  <c r="G33" i="32" l="1"/>
  <c r="G34" i="31"/>
  <c r="G33" i="33"/>
  <c r="D34" i="33"/>
  <c r="E34" i="33" s="1"/>
  <c r="C35" i="33" s="1"/>
  <c r="D34" i="32"/>
  <c r="E34" i="32" s="1"/>
  <c r="C35" i="32" s="1"/>
  <c r="D35" i="31"/>
  <c r="E35" i="31" s="1"/>
  <c r="C36" i="31" s="1"/>
  <c r="G35" i="31" l="1"/>
  <c r="G34" i="32"/>
  <c r="G34" i="33"/>
  <c r="D35" i="33"/>
  <c r="E35" i="33" s="1"/>
  <c r="C36" i="33" s="1"/>
  <c r="D35" i="32"/>
  <c r="E35" i="32" s="1"/>
  <c r="C36" i="32" s="1"/>
  <c r="D36" i="31"/>
  <c r="E36" i="31" s="1"/>
  <c r="C37" i="31" s="1"/>
  <c r="G36" i="31" l="1"/>
  <c r="G35" i="32"/>
  <c r="G35" i="33"/>
  <c r="D36" i="33"/>
  <c r="E36" i="33" s="1"/>
  <c r="C37" i="33" s="1"/>
  <c r="D36" i="32"/>
  <c r="E36" i="32" s="1"/>
  <c r="C37" i="32" s="1"/>
  <c r="D37" i="31"/>
  <c r="E37" i="31" s="1"/>
  <c r="C38" i="31" s="1"/>
  <c r="G36" i="32" l="1"/>
  <c r="G37" i="31"/>
  <c r="G36" i="33"/>
  <c r="D37" i="33"/>
  <c r="E37" i="33" s="1"/>
  <c r="C38" i="33" s="1"/>
  <c r="D37" i="32"/>
  <c r="E37" i="32" s="1"/>
  <c r="C38" i="32" s="1"/>
  <c r="D38" i="31"/>
  <c r="E38" i="31" s="1"/>
  <c r="C39" i="31" s="1"/>
  <c r="G38" i="31" l="1"/>
  <c r="G37" i="32"/>
  <c r="G37" i="33"/>
  <c r="D38" i="33"/>
  <c r="E38" i="33" s="1"/>
  <c r="C39" i="33" s="1"/>
  <c r="D38" i="32"/>
  <c r="E38" i="32" s="1"/>
  <c r="C39" i="32" s="1"/>
  <c r="D39" i="31"/>
  <c r="E39" i="31" s="1"/>
  <c r="C40" i="31" s="1"/>
  <c r="G39" i="31" l="1"/>
  <c r="G38" i="32"/>
  <c r="G38" i="33"/>
  <c r="D39" i="33"/>
  <c r="E39" i="33" s="1"/>
  <c r="C40" i="33" s="1"/>
  <c r="D39" i="32"/>
  <c r="E39" i="32" s="1"/>
  <c r="C40" i="32" s="1"/>
  <c r="D40" i="31"/>
  <c r="E40" i="31" s="1"/>
  <c r="C41" i="31" s="1"/>
  <c r="G40" i="31" l="1"/>
  <c r="G39" i="32"/>
  <c r="G39" i="33"/>
  <c r="D40" i="33"/>
  <c r="E40" i="33" s="1"/>
  <c r="C41" i="33" s="1"/>
  <c r="D40" i="32"/>
  <c r="E40" i="32" s="1"/>
  <c r="C41" i="32" s="1"/>
  <c r="D41" i="31"/>
  <c r="E41" i="31" s="1"/>
  <c r="C42" i="31" s="1"/>
  <c r="G41" i="31" l="1"/>
  <c r="G40" i="32"/>
  <c r="G40" i="33"/>
  <c r="D41" i="33"/>
  <c r="E41" i="33" s="1"/>
  <c r="C42" i="33" s="1"/>
  <c r="D41" i="32"/>
  <c r="E41" i="32" s="1"/>
  <c r="C42" i="32" s="1"/>
  <c r="D42" i="31"/>
  <c r="E42" i="31" s="1"/>
  <c r="C43" i="31" s="1"/>
  <c r="G42" i="31" l="1"/>
  <c r="G41" i="32"/>
  <c r="G41" i="33"/>
  <c r="D42" i="33"/>
  <c r="E42" i="33" s="1"/>
  <c r="C43" i="33" s="1"/>
  <c r="D42" i="32"/>
  <c r="E42" i="32" s="1"/>
  <c r="C43" i="32" s="1"/>
  <c r="D43" i="31"/>
  <c r="E43" i="31" s="1"/>
  <c r="C44" i="31" s="1"/>
  <c r="G43" i="31" l="1"/>
  <c r="G42" i="32"/>
  <c r="G42" i="33"/>
  <c r="D43" i="33"/>
  <c r="E43" i="33" s="1"/>
  <c r="C44" i="33" s="1"/>
  <c r="D43" i="32"/>
  <c r="E43" i="32" s="1"/>
  <c r="C44" i="32" s="1"/>
  <c r="D44" i="31"/>
  <c r="E44" i="31" s="1"/>
  <c r="C45" i="31" s="1"/>
  <c r="G44" i="31" l="1"/>
  <c r="G43" i="32"/>
  <c r="G43" i="33"/>
  <c r="D44" i="33"/>
  <c r="E44" i="33" s="1"/>
  <c r="C45" i="33" s="1"/>
  <c r="D44" i="32"/>
  <c r="E44" i="32" s="1"/>
  <c r="C45" i="32" s="1"/>
  <c r="D45" i="31"/>
  <c r="E45" i="31" s="1"/>
  <c r="C46" i="31" s="1"/>
  <c r="G45" i="31" l="1"/>
  <c r="G44" i="32"/>
  <c r="G44" i="33"/>
  <c r="D45" i="33"/>
  <c r="E45" i="33" s="1"/>
  <c r="C46" i="33" s="1"/>
  <c r="D45" i="32"/>
  <c r="E45" i="32" s="1"/>
  <c r="C46" i="32" s="1"/>
  <c r="D46" i="31"/>
  <c r="E46" i="31" s="1"/>
  <c r="C47" i="31" s="1"/>
  <c r="G45" i="33" l="1"/>
  <c r="G46" i="31"/>
  <c r="G45" i="32"/>
  <c r="D46" i="33"/>
  <c r="E46" i="33" s="1"/>
  <c r="C47" i="33" s="1"/>
  <c r="D46" i="32"/>
  <c r="E46" i="32" s="1"/>
  <c r="C47" i="32" s="1"/>
  <c r="D47" i="31"/>
  <c r="E47" i="31" s="1"/>
  <c r="C48" i="31" s="1"/>
  <c r="G47" i="31" l="1"/>
  <c r="G46" i="32"/>
  <c r="G46" i="33"/>
  <c r="D47" i="33"/>
  <c r="E47" i="33" s="1"/>
  <c r="C48" i="33" s="1"/>
  <c r="D47" i="32"/>
  <c r="E47" i="32" s="1"/>
  <c r="C48" i="32" s="1"/>
  <c r="D48" i="31"/>
  <c r="E48" i="31" s="1"/>
  <c r="C49" i="31" s="1"/>
  <c r="G48" i="31" l="1"/>
  <c r="G47" i="32"/>
  <c r="G47" i="33"/>
  <c r="D48" i="33"/>
  <c r="E48" i="33" s="1"/>
  <c r="C49" i="33" s="1"/>
  <c r="D48" i="32"/>
  <c r="E48" i="32" s="1"/>
  <c r="C49" i="32" s="1"/>
  <c r="D49" i="31"/>
  <c r="E49" i="31" s="1"/>
  <c r="C50" i="31" s="1"/>
  <c r="G49" i="31" l="1"/>
  <c r="G48" i="32"/>
  <c r="G48" i="33"/>
  <c r="D49" i="33"/>
  <c r="E49" i="33" s="1"/>
  <c r="C50" i="33" s="1"/>
  <c r="D49" i="32"/>
  <c r="E49" i="32" s="1"/>
  <c r="C50" i="32" s="1"/>
  <c r="D50" i="31"/>
  <c r="E50" i="31" s="1"/>
  <c r="C51" i="31" s="1"/>
  <c r="G50" i="31" l="1"/>
  <c r="G49" i="32"/>
  <c r="G49" i="33"/>
  <c r="D50" i="33"/>
  <c r="E50" i="33" s="1"/>
  <c r="C51" i="33" s="1"/>
  <c r="D50" i="32"/>
  <c r="E50" i="32" s="1"/>
  <c r="C51" i="32" s="1"/>
  <c r="D51" i="31"/>
  <c r="E51" i="31" s="1"/>
  <c r="C52" i="31" s="1"/>
  <c r="G50" i="33" l="1"/>
  <c r="G51" i="31"/>
  <c r="G50" i="32"/>
  <c r="D51" i="33"/>
  <c r="E51" i="33" s="1"/>
  <c r="C52" i="33" s="1"/>
  <c r="D51" i="32"/>
  <c r="E51" i="32" s="1"/>
  <c r="C52" i="32" s="1"/>
  <c r="D52" i="31"/>
  <c r="E52" i="31" s="1"/>
  <c r="C53" i="31" s="1"/>
  <c r="G52" i="31" l="1"/>
  <c r="G51" i="32"/>
  <c r="G51" i="33"/>
  <c r="D52" i="33"/>
  <c r="E52" i="33" s="1"/>
  <c r="C53" i="33" s="1"/>
  <c r="D52" i="32"/>
  <c r="E52" i="32" s="1"/>
  <c r="C53" i="32" s="1"/>
  <c r="D53" i="31"/>
  <c r="E53" i="31" s="1"/>
  <c r="C54" i="31" s="1"/>
  <c r="G53" i="31" l="1"/>
  <c r="G52" i="32"/>
  <c r="G52" i="33"/>
  <c r="D53" i="33"/>
  <c r="E53" i="33" s="1"/>
  <c r="C54" i="33" s="1"/>
  <c r="D53" i="32"/>
  <c r="E53" i="32" s="1"/>
  <c r="C54" i="32" s="1"/>
  <c r="D54" i="31"/>
  <c r="E54" i="31" s="1"/>
  <c r="C55" i="31" s="1"/>
  <c r="G54" i="31" l="1"/>
  <c r="G53" i="32"/>
  <c r="G53" i="33"/>
  <c r="D54" i="33"/>
  <c r="E54" i="33" s="1"/>
  <c r="C55" i="33" s="1"/>
  <c r="D54" i="32"/>
  <c r="E54" i="32" s="1"/>
  <c r="C55" i="32" s="1"/>
  <c r="D55" i="31"/>
  <c r="E55" i="31" s="1"/>
  <c r="C56" i="31" s="1"/>
  <c r="G55" i="31" l="1"/>
  <c r="G54" i="32"/>
  <c r="G54" i="33"/>
  <c r="D55" i="33"/>
  <c r="E55" i="33" s="1"/>
  <c r="C56" i="33" s="1"/>
  <c r="D55" i="32"/>
  <c r="E55" i="32" s="1"/>
  <c r="C56" i="32" s="1"/>
  <c r="D56" i="31"/>
  <c r="E56" i="31" s="1"/>
  <c r="C57" i="31" s="1"/>
  <c r="G56" i="31" l="1"/>
  <c r="G55" i="32"/>
  <c r="G55" i="33"/>
  <c r="D56" i="33"/>
  <c r="E56" i="33" s="1"/>
  <c r="C57" i="33" s="1"/>
  <c r="D56" i="32"/>
  <c r="E56" i="32" s="1"/>
  <c r="C57" i="32" s="1"/>
  <c r="D57" i="31"/>
  <c r="E57" i="31" s="1"/>
  <c r="C58" i="31" s="1"/>
  <c r="G57" i="31" l="1"/>
  <c r="G56" i="32"/>
  <c r="G56" i="33"/>
  <c r="D57" i="33"/>
  <c r="E57" i="33" s="1"/>
  <c r="C58" i="33" s="1"/>
  <c r="D57" i="32"/>
  <c r="E57" i="32" s="1"/>
  <c r="C58" i="32" s="1"/>
  <c r="D58" i="31"/>
  <c r="E58" i="31" s="1"/>
  <c r="C59" i="31" s="1"/>
  <c r="G58" i="31" l="1"/>
  <c r="G57" i="32"/>
  <c r="G57" i="33"/>
  <c r="D58" i="33"/>
  <c r="E58" i="33" s="1"/>
  <c r="C59" i="33" s="1"/>
  <c r="D58" i="32"/>
  <c r="E58" i="32" s="1"/>
  <c r="C59" i="32" s="1"/>
  <c r="D59" i="31"/>
  <c r="E59" i="31" s="1"/>
  <c r="C60" i="31" s="1"/>
  <c r="G59" i="31" l="1"/>
  <c r="G58" i="32"/>
  <c r="G58" i="33"/>
  <c r="D59" i="33"/>
  <c r="E59" i="33" s="1"/>
  <c r="C60" i="33" s="1"/>
  <c r="D59" i="32"/>
  <c r="E59" i="32" s="1"/>
  <c r="C60" i="32" s="1"/>
  <c r="D60" i="31"/>
  <c r="E60" i="31" s="1"/>
  <c r="C61" i="31" s="1"/>
  <c r="G60" i="31" l="1"/>
  <c r="G59" i="32"/>
  <c r="G59" i="33"/>
  <c r="D60" i="33"/>
  <c r="E60" i="33" s="1"/>
  <c r="C61" i="33" s="1"/>
  <c r="D60" i="32"/>
  <c r="E60" i="32" s="1"/>
  <c r="C61" i="32" s="1"/>
  <c r="D61" i="31"/>
  <c r="E61" i="31" s="1"/>
  <c r="C62" i="31" s="1"/>
  <c r="G61" i="31" l="1"/>
  <c r="G60" i="32"/>
  <c r="G60" i="33"/>
  <c r="D61" i="33"/>
  <c r="E61" i="33" s="1"/>
  <c r="C62" i="33" s="1"/>
  <c r="D61" i="32"/>
  <c r="E61" i="32" s="1"/>
  <c r="C62" i="32" s="1"/>
  <c r="D62" i="31"/>
  <c r="E62" i="31" s="1"/>
  <c r="C63" i="31" s="1"/>
  <c r="G62" i="31" l="1"/>
  <c r="G61" i="32"/>
  <c r="G61" i="33"/>
  <c r="D62" i="33"/>
  <c r="E62" i="33" s="1"/>
  <c r="C63" i="33" s="1"/>
  <c r="D62" i="32"/>
  <c r="E62" i="32" s="1"/>
  <c r="C63" i="32" s="1"/>
  <c r="D63" i="31"/>
  <c r="E63" i="31" s="1"/>
  <c r="C64" i="31" s="1"/>
  <c r="G63" i="31" l="1"/>
  <c r="G62" i="32"/>
  <c r="G62" i="33"/>
  <c r="D63" i="33"/>
  <c r="E63" i="33" s="1"/>
  <c r="C64" i="33" s="1"/>
  <c r="D63" i="32"/>
  <c r="E63" i="32" s="1"/>
  <c r="C64" i="32" s="1"/>
  <c r="D64" i="31"/>
  <c r="E64" i="31" s="1"/>
  <c r="C65" i="31" s="1"/>
  <c r="G64" i="31" l="1"/>
  <c r="G63" i="32"/>
  <c r="G63" i="33"/>
  <c r="D64" i="33"/>
  <c r="E64" i="33" s="1"/>
  <c r="C65" i="33" s="1"/>
  <c r="D65" i="33" s="1"/>
  <c r="D64" i="32"/>
  <c r="E64" i="32" s="1"/>
  <c r="C65" i="32" s="1"/>
  <c r="D65" i="31"/>
  <c r="E65" i="31" s="1"/>
  <c r="C66" i="31" s="1"/>
  <c r="G65" i="31" l="1"/>
  <c r="G64" i="32"/>
  <c r="G64" i="33"/>
  <c r="G65" i="33" s="1"/>
  <c r="G66" i="33" s="1"/>
  <c r="G67" i="33" s="1"/>
  <c r="G68" i="33" s="1"/>
  <c r="G69" i="33" s="1"/>
  <c r="G70" i="33" s="1"/>
  <c r="G71" i="33" s="1"/>
  <c r="G72" i="33" s="1"/>
  <c r="G73" i="33" s="1"/>
  <c r="G74" i="33" s="1"/>
  <c r="G75" i="33" s="1"/>
  <c r="G76" i="33" s="1"/>
  <c r="G77" i="33" s="1"/>
  <c r="G78" i="33" s="1"/>
  <c r="G79" i="33" s="1"/>
  <c r="G80" i="33" s="1"/>
  <c r="G81" i="33" s="1"/>
  <c r="G82" i="33" s="1"/>
  <c r="G83" i="33" s="1"/>
  <c r="G84" i="33" s="1"/>
  <c r="G85" i="33" s="1"/>
  <c r="G86" i="33" s="1"/>
  <c r="G87" i="33" s="1"/>
  <c r="G88" i="33" s="1"/>
  <c r="G89" i="33" s="1"/>
  <c r="G90" i="33" s="1"/>
  <c r="G91" i="33" s="1"/>
  <c r="G92" i="33" s="1"/>
  <c r="G93" i="33" s="1"/>
  <c r="G94" i="33" s="1"/>
  <c r="G95" i="33" s="1"/>
  <c r="G96" i="33" s="1"/>
  <c r="G97" i="33" s="1"/>
  <c r="G98" i="33" s="1"/>
  <c r="G99" i="33" s="1"/>
  <c r="G100" i="33" s="1"/>
  <c r="G101" i="33" s="1"/>
  <c r="E65" i="33"/>
  <c r="F11" i="33"/>
  <c r="D65" i="32"/>
  <c r="E65" i="32" s="1"/>
  <c r="C66" i="32" s="1"/>
  <c r="D66" i="31"/>
  <c r="E66" i="31" s="1"/>
  <c r="C67" i="31" s="1"/>
  <c r="G66" i="31" l="1"/>
  <c r="G65" i="32"/>
  <c r="D66" i="32"/>
  <c r="E66" i="32" s="1"/>
  <c r="C67" i="32" s="1"/>
  <c r="D67" i="31"/>
  <c r="E67" i="31" s="1"/>
  <c r="C68" i="31" s="1"/>
  <c r="G66" i="32" l="1"/>
  <c r="G67" i="31"/>
  <c r="D67" i="32"/>
  <c r="E67" i="32" s="1"/>
  <c r="C68" i="32" s="1"/>
  <c r="D68" i="31"/>
  <c r="E68" i="31" s="1"/>
  <c r="C69" i="31" s="1"/>
  <c r="G67" i="32" l="1"/>
  <c r="G68" i="31"/>
  <c r="D68" i="32"/>
  <c r="E68" i="32" s="1"/>
  <c r="C69" i="32" s="1"/>
  <c r="D69" i="31"/>
  <c r="E69" i="31" s="1"/>
  <c r="C70" i="31" s="1"/>
  <c r="G68" i="32" l="1"/>
  <c r="G69" i="31"/>
  <c r="D69" i="32"/>
  <c r="E69" i="32" s="1"/>
  <c r="C70" i="32" s="1"/>
  <c r="D70" i="31"/>
  <c r="E70" i="31" s="1"/>
  <c r="C71" i="31" s="1"/>
  <c r="G69" i="32" l="1"/>
  <c r="G70" i="31"/>
  <c r="D70" i="32"/>
  <c r="E70" i="32" s="1"/>
  <c r="C71" i="32" s="1"/>
  <c r="D71" i="31"/>
  <c r="E71" i="31" s="1"/>
  <c r="C72" i="31" s="1"/>
  <c r="G71" i="31" l="1"/>
  <c r="G70" i="32"/>
  <c r="D71" i="32"/>
  <c r="E71" i="32" s="1"/>
  <c r="C72" i="32" s="1"/>
  <c r="D72" i="31"/>
  <c r="E72" i="31" s="1"/>
  <c r="C73" i="31" s="1"/>
  <c r="G71" i="32" l="1"/>
  <c r="G72" i="31"/>
  <c r="D72" i="32"/>
  <c r="E72" i="32" s="1"/>
  <c r="C73" i="32" s="1"/>
  <c r="D73" i="31"/>
  <c r="E73" i="31" s="1"/>
  <c r="C74" i="31" s="1"/>
  <c r="G73" i="31" l="1"/>
  <c r="G72" i="32"/>
  <c r="D73" i="32"/>
  <c r="E73" i="32" s="1"/>
  <c r="C74" i="32" s="1"/>
  <c r="D74" i="31"/>
  <c r="E74" i="31" s="1"/>
  <c r="C75" i="31" s="1"/>
  <c r="G73" i="32" l="1"/>
  <c r="G74" i="31"/>
  <c r="D74" i="32"/>
  <c r="E74" i="32" s="1"/>
  <c r="C75" i="32" s="1"/>
  <c r="D75" i="31"/>
  <c r="E75" i="31" s="1"/>
  <c r="C76" i="31" s="1"/>
  <c r="G75" i="31" l="1"/>
  <c r="G74" i="32"/>
  <c r="D75" i="32"/>
  <c r="E75" i="32" s="1"/>
  <c r="C76" i="32" s="1"/>
  <c r="D76" i="31"/>
  <c r="E76" i="31" s="1"/>
  <c r="C77" i="31" s="1"/>
  <c r="D77" i="31" s="1"/>
  <c r="B6" i="35" s="1"/>
  <c r="C6" i="35" l="1"/>
  <c r="G76" i="31"/>
  <c r="G77" i="31" s="1"/>
  <c r="G78" i="31" s="1"/>
  <c r="G79" i="31" s="1"/>
  <c r="G80" i="31" s="1"/>
  <c r="G81" i="31" s="1"/>
  <c r="G82" i="31" s="1"/>
  <c r="G83" i="31" s="1"/>
  <c r="G84" i="31" s="1"/>
  <c r="G85" i="31" s="1"/>
  <c r="G86" i="31" s="1"/>
  <c r="G87" i="31" s="1"/>
  <c r="G88" i="31" s="1"/>
  <c r="G89" i="31" s="1"/>
  <c r="G90" i="31" s="1"/>
  <c r="G91" i="31" s="1"/>
  <c r="G92" i="31" s="1"/>
  <c r="G93" i="31" s="1"/>
  <c r="G94" i="31" s="1"/>
  <c r="G95" i="31" s="1"/>
  <c r="G96" i="31" s="1"/>
  <c r="G97" i="31" s="1"/>
  <c r="G98" i="31" s="1"/>
  <c r="G99" i="31" s="1"/>
  <c r="G100" i="31" s="1"/>
  <c r="G101" i="31" s="1"/>
  <c r="G75" i="32"/>
  <c r="D76" i="32"/>
  <c r="E76" i="32" s="1"/>
  <c r="C77" i="32" s="1"/>
  <c r="D77" i="32" s="1"/>
  <c r="E77" i="31"/>
  <c r="B5" i="35" s="1"/>
  <c r="F11" i="31"/>
  <c r="B45" i="38" l="1"/>
  <c r="B7" i="35"/>
  <c r="B8" i="35" s="1"/>
  <c r="D6" i="35"/>
  <c r="M24" i="35"/>
  <c r="C5" i="35"/>
  <c r="C45" i="38" s="1"/>
  <c r="G76" i="32"/>
  <c r="G77" i="32" s="1"/>
  <c r="G78" i="32" s="1"/>
  <c r="G79" i="32" s="1"/>
  <c r="G80" i="32" s="1"/>
  <c r="G81" i="32" s="1"/>
  <c r="G82" i="32" s="1"/>
  <c r="G83" i="32" s="1"/>
  <c r="G84" i="32" s="1"/>
  <c r="G85" i="32" s="1"/>
  <c r="G86" i="32" s="1"/>
  <c r="G87" i="32" s="1"/>
  <c r="G88" i="32" s="1"/>
  <c r="G89" i="32" s="1"/>
  <c r="G90" i="32" s="1"/>
  <c r="G91" i="32" s="1"/>
  <c r="G92" i="32" s="1"/>
  <c r="G93" i="32" s="1"/>
  <c r="G94" i="32" s="1"/>
  <c r="G95" i="32" s="1"/>
  <c r="G96" i="32" s="1"/>
  <c r="G97" i="32" s="1"/>
  <c r="G98" i="32" s="1"/>
  <c r="G99" i="32" s="1"/>
  <c r="G100" i="32" s="1"/>
  <c r="G101" i="32" s="1"/>
  <c r="E77" i="32"/>
  <c r="F11" i="32"/>
  <c r="B39" i="35" l="1"/>
  <c r="B58" i="35" s="1"/>
  <c r="C7" i="35"/>
  <c r="C8" i="35" s="1"/>
  <c r="C39" i="35" s="1"/>
  <c r="E6" i="35"/>
  <c r="N24" i="35"/>
  <c r="D5" i="35"/>
  <c r="D45" i="38" s="1"/>
  <c r="D7" i="35" l="1"/>
  <c r="F6" i="35"/>
  <c r="O24" i="35"/>
  <c r="E5" i="35"/>
  <c r="E45" i="38" s="1"/>
  <c r="D8" i="35"/>
  <c r="D39" i="35" s="1"/>
  <c r="C30" i="28"/>
  <c r="D30" i="28" s="1"/>
  <c r="E30" i="28" s="1"/>
  <c r="F30" i="28" s="1"/>
  <c r="G30" i="28" s="1"/>
  <c r="H30" i="28" s="1"/>
  <c r="I30" i="28" s="1"/>
  <c r="C25" i="28"/>
  <c r="B30" i="28"/>
  <c r="B29" i="28"/>
  <c r="K48" i="24"/>
  <c r="I46" i="24"/>
  <c r="K41" i="24"/>
  <c r="I39" i="24"/>
  <c r="K34" i="24"/>
  <c r="I32" i="24"/>
  <c r="L32" i="28"/>
  <c r="N32" i="28" s="1"/>
  <c r="P32" i="28" s="1"/>
  <c r="R32" i="28" s="1"/>
  <c r="T32" i="28" s="1"/>
  <c r="V32" i="28" s="1"/>
  <c r="U12" i="24"/>
  <c r="C12" i="28"/>
  <c r="D12" i="28"/>
  <c r="E12" i="28"/>
  <c r="F12" i="28"/>
  <c r="G12" i="28"/>
  <c r="H12" i="28"/>
  <c r="H11" i="28"/>
  <c r="G11" i="28"/>
  <c r="F11" i="28"/>
  <c r="E11" i="28"/>
  <c r="D11" i="28"/>
  <c r="C11" i="28"/>
  <c r="P26" i="24"/>
  <c r="O26" i="24"/>
  <c r="L26" i="24"/>
  <c r="F20" i="25" s="1"/>
  <c r="K26" i="24"/>
  <c r="E20" i="25" s="1"/>
  <c r="B10" i="28"/>
  <c r="D6" i="28"/>
  <c r="E6" i="28"/>
  <c r="F6" i="28"/>
  <c r="G6" i="28"/>
  <c r="C6" i="28"/>
  <c r="D5" i="28"/>
  <c r="E5" i="28"/>
  <c r="F5" i="28"/>
  <c r="G5" i="28"/>
  <c r="C5" i="28"/>
  <c r="I5" i="28" s="1"/>
  <c r="C4" i="28"/>
  <c r="D4" i="28"/>
  <c r="E4" i="28"/>
  <c r="F4" i="28"/>
  <c r="G4" i="28"/>
  <c r="E13" i="30"/>
  <c r="F13" i="30"/>
  <c r="G13" i="30"/>
  <c r="H13" i="30"/>
  <c r="D13" i="30"/>
  <c r="E12" i="30"/>
  <c r="E17" i="30" s="1"/>
  <c r="F12" i="30"/>
  <c r="F17" i="30" s="1"/>
  <c r="G12" i="30"/>
  <c r="G17" i="30" s="1"/>
  <c r="H12" i="30"/>
  <c r="H17" i="30" s="1"/>
  <c r="D12" i="30"/>
  <c r="D17" i="30" s="1"/>
  <c r="A9" i="30"/>
  <c r="A22" i="25" s="1"/>
  <c r="B17" i="30"/>
  <c r="C21" i="29"/>
  <c r="B21" i="29"/>
  <c r="A30" i="29"/>
  <c r="A29" i="29"/>
  <c r="A28" i="29"/>
  <c r="A27" i="29"/>
  <c r="A26" i="29"/>
  <c r="A25" i="29"/>
  <c r="A24" i="29"/>
  <c r="A23" i="29"/>
  <c r="A22" i="29"/>
  <c r="A20" i="29"/>
  <c r="G67" i="29"/>
  <c r="A18" i="29"/>
  <c r="I22" i="24"/>
  <c r="A38" i="27" s="1"/>
  <c r="E38" i="27" s="1"/>
  <c r="I21" i="24"/>
  <c r="A37" i="27" s="1"/>
  <c r="E37" i="27" s="1"/>
  <c r="I20" i="24"/>
  <c r="A36" i="27" s="1"/>
  <c r="E36" i="27" s="1"/>
  <c r="I19" i="24"/>
  <c r="A35" i="27" s="1"/>
  <c r="E35" i="27" s="1"/>
  <c r="I18" i="24"/>
  <c r="A34" i="27" s="1"/>
  <c r="E34" i="27" s="1"/>
  <c r="I17" i="24"/>
  <c r="A33" i="27" s="1"/>
  <c r="E33" i="27" s="1"/>
  <c r="I16" i="24"/>
  <c r="A32" i="27" s="1"/>
  <c r="E32" i="27" s="1"/>
  <c r="I15" i="24"/>
  <c r="A31" i="27" s="1"/>
  <c r="E31" i="27" s="1"/>
  <c r="I14" i="24"/>
  <c r="A30" i="27" s="1"/>
  <c r="E30" i="27" s="1"/>
  <c r="I13" i="24"/>
  <c r="A29" i="27" s="1"/>
  <c r="E29" i="27" s="1"/>
  <c r="I12" i="24"/>
  <c r="A28" i="27" s="1"/>
  <c r="E28" i="27" s="1"/>
  <c r="I11" i="24"/>
  <c r="A27" i="27" s="1"/>
  <c r="E27" i="27" s="1"/>
  <c r="D21" i="25"/>
  <c r="E21" i="25"/>
  <c r="F21" i="25"/>
  <c r="G21" i="25"/>
  <c r="H21" i="25"/>
  <c r="I21" i="25"/>
  <c r="G20" i="25"/>
  <c r="H20" i="25"/>
  <c r="I20" i="25"/>
  <c r="D20" i="25"/>
  <c r="G41" i="24"/>
  <c r="F41" i="24"/>
  <c r="E41" i="24"/>
  <c r="D41" i="24"/>
  <c r="C41" i="24"/>
  <c r="O26" i="23"/>
  <c r="M26" i="23"/>
  <c r="P25" i="24"/>
  <c r="H10" i="28" s="1"/>
  <c r="O25" i="24"/>
  <c r="G10" i="28" s="1"/>
  <c r="N25" i="24"/>
  <c r="Y12" i="24" s="1"/>
  <c r="M25" i="24"/>
  <c r="E10" i="28" s="1"/>
  <c r="L25" i="24"/>
  <c r="D10" i="28" s="1"/>
  <c r="K25" i="24"/>
  <c r="C10" i="28" s="1"/>
  <c r="AA45" i="24"/>
  <c r="Z45" i="24"/>
  <c r="Y45" i="24"/>
  <c r="X45" i="24"/>
  <c r="W45" i="24"/>
  <c r="V45" i="24"/>
  <c r="AA42" i="24"/>
  <c r="Z42" i="24"/>
  <c r="Y42" i="24"/>
  <c r="X42" i="24"/>
  <c r="W42" i="24"/>
  <c r="V42" i="24"/>
  <c r="U42" i="24"/>
  <c r="AA18" i="24"/>
  <c r="Z18" i="24"/>
  <c r="Y18" i="24"/>
  <c r="X18" i="24"/>
  <c r="W18" i="24"/>
  <c r="V18" i="24"/>
  <c r="U18" i="24"/>
  <c r="AA13" i="24"/>
  <c r="Z13" i="24"/>
  <c r="Y13" i="24"/>
  <c r="X13" i="24"/>
  <c r="W13" i="24"/>
  <c r="V13" i="24"/>
  <c r="U13" i="24"/>
  <c r="B13" i="28" s="1"/>
  <c r="M21" i="35" s="1"/>
  <c r="G31" i="24"/>
  <c r="G2" i="28" s="1"/>
  <c r="F31" i="24"/>
  <c r="F2" i="28" s="1"/>
  <c r="E31" i="24"/>
  <c r="E2" i="28" s="1"/>
  <c r="D31" i="24"/>
  <c r="D2" i="28" s="1"/>
  <c r="C31" i="24"/>
  <c r="C2" i="28" s="1"/>
  <c r="A31" i="24"/>
  <c r="G26" i="24"/>
  <c r="F26" i="24"/>
  <c r="E26" i="24"/>
  <c r="D26" i="24"/>
  <c r="C26" i="24"/>
  <c r="B26" i="24"/>
  <c r="H24" i="24"/>
  <c r="F15" i="24"/>
  <c r="A15" i="24"/>
  <c r="C29" i="28" l="1"/>
  <c r="C26" i="28"/>
  <c r="H78" i="28"/>
  <c r="H17" i="28"/>
  <c r="G78" i="28"/>
  <c r="G17" i="28"/>
  <c r="F78" i="28"/>
  <c r="E78" i="28"/>
  <c r="D78" i="28"/>
  <c r="C78" i="28"/>
  <c r="C42" i="36" s="1"/>
  <c r="I13" i="30"/>
  <c r="B40" i="24"/>
  <c r="G42" i="36"/>
  <c r="R20" i="35"/>
  <c r="F42" i="36"/>
  <c r="Q20" i="35"/>
  <c r="E42" i="36"/>
  <c r="P20" i="35"/>
  <c r="H42" i="36"/>
  <c r="S20" i="35"/>
  <c r="D42" i="36"/>
  <c r="O20" i="35"/>
  <c r="D29" i="28"/>
  <c r="E29" i="28" s="1"/>
  <c r="F29" i="28" s="1"/>
  <c r="G29" i="28" s="1"/>
  <c r="H29" i="28" s="1"/>
  <c r="I29" i="28" s="1"/>
  <c r="C35" i="27"/>
  <c r="F35" i="27" s="1"/>
  <c r="C31" i="27"/>
  <c r="F31" i="27" s="1"/>
  <c r="C27" i="27"/>
  <c r="F27" i="27" s="1"/>
  <c r="C38" i="27"/>
  <c r="F38" i="27" s="1"/>
  <c r="C34" i="27"/>
  <c r="F34" i="27" s="1"/>
  <c r="C30" i="27"/>
  <c r="F30" i="27" s="1"/>
  <c r="C37" i="27"/>
  <c r="F37" i="27" s="1"/>
  <c r="C33" i="27"/>
  <c r="F33" i="27" s="1"/>
  <c r="C29" i="27"/>
  <c r="F29" i="27" s="1"/>
  <c r="C36" i="27"/>
  <c r="F36" i="27" s="1"/>
  <c r="C32" i="27"/>
  <c r="F32" i="27" s="1"/>
  <c r="C28" i="27"/>
  <c r="F28" i="27" s="1"/>
  <c r="D27" i="28"/>
  <c r="E27" i="28" s="1"/>
  <c r="F27" i="28" s="1"/>
  <c r="G27" i="28" s="1"/>
  <c r="H27" i="28" s="1"/>
  <c r="I27" i="28" s="1"/>
  <c r="K28" i="28"/>
  <c r="E7" i="35"/>
  <c r="E8" i="35" s="1"/>
  <c r="E39" i="35" s="1"/>
  <c r="G6" i="35"/>
  <c r="P24" i="35"/>
  <c r="D58" i="35"/>
  <c r="J57" i="28"/>
  <c r="D26" i="28"/>
  <c r="E26" i="28" s="1"/>
  <c r="F26" i="28" s="1"/>
  <c r="G26" i="28" s="1"/>
  <c r="H26" i="28" s="1"/>
  <c r="I26" i="28" s="1"/>
  <c r="F5" i="35"/>
  <c r="F45" i="38" s="1"/>
  <c r="K40" i="28"/>
  <c r="B76" i="28"/>
  <c r="B40" i="36" s="1"/>
  <c r="D77" i="28"/>
  <c r="H77" i="28"/>
  <c r="D76" i="28"/>
  <c r="D40" i="36" s="1"/>
  <c r="M40" i="28"/>
  <c r="E76" i="28"/>
  <c r="E40" i="36" s="1"/>
  <c r="N40" i="28"/>
  <c r="E77" i="28"/>
  <c r="L40" i="28"/>
  <c r="C76" i="28"/>
  <c r="C40" i="36" s="1"/>
  <c r="P40" i="28"/>
  <c r="G76" i="28"/>
  <c r="G40" i="36" s="1"/>
  <c r="F77" i="28"/>
  <c r="H76" i="28"/>
  <c r="H40" i="36" s="1"/>
  <c r="Q40" i="28"/>
  <c r="C77" i="28"/>
  <c r="G77" i="28"/>
  <c r="A44" i="28"/>
  <c r="C47" i="28"/>
  <c r="A47" i="28"/>
  <c r="C43" i="28"/>
  <c r="A43" i="28"/>
  <c r="C46" i="28"/>
  <c r="A46" i="28"/>
  <c r="C42" i="28"/>
  <c r="A42" i="28"/>
  <c r="C45" i="28"/>
  <c r="A45" i="28"/>
  <c r="C44" i="28"/>
  <c r="D25" i="28"/>
  <c r="I19" i="25"/>
  <c r="U45" i="24"/>
  <c r="B15" i="28" s="1"/>
  <c r="M23" i="35" s="1"/>
  <c r="E19" i="25"/>
  <c r="I11" i="28"/>
  <c r="G19" i="25"/>
  <c r="F10" i="28"/>
  <c r="B12" i="28"/>
  <c r="X12" i="24"/>
  <c r="D19" i="25"/>
  <c r="F19" i="25"/>
  <c r="C21" i="25"/>
  <c r="AA12" i="24"/>
  <c r="W12" i="24"/>
  <c r="Z12" i="24"/>
  <c r="V12" i="24"/>
  <c r="H19" i="25"/>
  <c r="I4" i="28"/>
  <c r="C13" i="28"/>
  <c r="N21" i="35" s="1"/>
  <c r="U30" i="28"/>
  <c r="O30" i="28"/>
  <c r="W30" i="28"/>
  <c r="Q30" i="28"/>
  <c r="K30" i="28"/>
  <c r="S30" i="28"/>
  <c r="M30" i="28"/>
  <c r="G68" i="29"/>
  <c r="V29" i="28" l="1"/>
  <c r="N20" i="35"/>
  <c r="C24" i="28"/>
  <c r="J29" i="28"/>
  <c r="G41" i="36"/>
  <c r="R19" i="35"/>
  <c r="R37" i="35" s="1"/>
  <c r="F41" i="36"/>
  <c r="Q19" i="35"/>
  <c r="Q37" i="35" s="1"/>
  <c r="C41" i="36"/>
  <c r="N19" i="35"/>
  <c r="E41" i="36"/>
  <c r="P19" i="35"/>
  <c r="P37" i="35" s="1"/>
  <c r="D41" i="36"/>
  <c r="O19" i="35"/>
  <c r="O37" i="35" s="1"/>
  <c r="H41" i="36"/>
  <c r="S19" i="35"/>
  <c r="S37" i="35" s="1"/>
  <c r="K27" i="28"/>
  <c r="D28" i="28"/>
  <c r="E28" i="28" s="1"/>
  <c r="F28" i="28" s="1"/>
  <c r="G28" i="28" s="1"/>
  <c r="H28" i="28" s="1"/>
  <c r="I28" i="28" s="1"/>
  <c r="A22" i="27"/>
  <c r="E21" i="27" s="1"/>
  <c r="A23" i="27"/>
  <c r="L14" i="35" s="1"/>
  <c r="M14" i="35" s="1"/>
  <c r="L29" i="28"/>
  <c r="N29" i="28"/>
  <c r="T29" i="28"/>
  <c r="P29" i="28"/>
  <c r="M27" i="28"/>
  <c r="R29" i="28"/>
  <c r="F7" i="35"/>
  <c r="F8" i="35" s="1"/>
  <c r="F39" i="35" s="1"/>
  <c r="N22" i="35"/>
  <c r="Q24" i="35"/>
  <c r="H6" i="35"/>
  <c r="E58" i="35"/>
  <c r="E25" i="28"/>
  <c r="F25" i="28" s="1"/>
  <c r="G5" i="35"/>
  <c r="G45" i="38" s="1"/>
  <c r="I77" i="28"/>
  <c r="I41" i="36" s="1"/>
  <c r="B78" i="28"/>
  <c r="F76" i="28"/>
  <c r="F40" i="36" s="1"/>
  <c r="O40" i="28"/>
  <c r="C15" i="28"/>
  <c r="N23" i="35" s="1"/>
  <c r="D13" i="28"/>
  <c r="O27" i="28"/>
  <c r="B14" i="28"/>
  <c r="B80" i="28" s="1"/>
  <c r="C41" i="28"/>
  <c r="D24" i="28"/>
  <c r="E24" i="28" s="1"/>
  <c r="F24" i="28" s="1"/>
  <c r="G24" i="28" s="1"/>
  <c r="H24" i="28" s="1"/>
  <c r="I24" i="28" s="1"/>
  <c r="I12" i="28"/>
  <c r="C14" i="28"/>
  <c r="C80" i="28" l="1"/>
  <c r="C17" i="28"/>
  <c r="B17" i="28"/>
  <c r="M28" i="28"/>
  <c r="N37" i="35"/>
  <c r="T19" i="35"/>
  <c r="T37" i="35" s="1"/>
  <c r="B42" i="36"/>
  <c r="M20" i="35"/>
  <c r="A5" i="28"/>
  <c r="F31" i="30" s="1"/>
  <c r="E22" i="27"/>
  <c r="L13" i="35"/>
  <c r="N13" i="35"/>
  <c r="S13" i="35" s="1"/>
  <c r="H32" i="30"/>
  <c r="D32" i="30"/>
  <c r="A4" i="28"/>
  <c r="F32" i="30"/>
  <c r="A46" i="36"/>
  <c r="A9" i="36"/>
  <c r="A45" i="30"/>
  <c r="N14" i="35"/>
  <c r="O11" i="35" s="1"/>
  <c r="C79" i="28"/>
  <c r="C81" i="28" s="1"/>
  <c r="B79" i="28"/>
  <c r="G7" i="35"/>
  <c r="G8" i="35" s="1"/>
  <c r="D14" i="28"/>
  <c r="O21" i="35"/>
  <c r="I6" i="35"/>
  <c r="S24" i="35" s="1"/>
  <c r="R24" i="35"/>
  <c r="H5" i="35"/>
  <c r="H45" i="38" s="1"/>
  <c r="F58" i="35"/>
  <c r="I78" i="28"/>
  <c r="D15" i="28"/>
  <c r="E13" i="28"/>
  <c r="P21" i="35" s="1"/>
  <c r="P22" i="35" s="1"/>
  <c r="O28" i="28"/>
  <c r="Q27" i="28"/>
  <c r="G25" i="28"/>
  <c r="M13" i="35" l="1"/>
  <c r="O14" i="35"/>
  <c r="K14" i="35" s="1"/>
  <c r="O13" i="35"/>
  <c r="D80" i="28"/>
  <c r="D17" i="28"/>
  <c r="I6" i="28"/>
  <c r="B81" i="28"/>
  <c r="B43" i="36" s="1"/>
  <c r="I42" i="36"/>
  <c r="D22" i="37"/>
  <c r="G22" i="37" s="1"/>
  <c r="T20" i="35"/>
  <c r="M22" i="35"/>
  <c r="U26" i="35"/>
  <c r="N26" i="35" s="1"/>
  <c r="T13" i="35"/>
  <c r="N11" i="35"/>
  <c r="S11" i="35" s="1"/>
  <c r="P13" i="35"/>
  <c r="R13" i="35"/>
  <c r="P14" i="35"/>
  <c r="Q13" i="35"/>
  <c r="K13" i="35"/>
  <c r="U13" i="35" s="1"/>
  <c r="B9" i="38"/>
  <c r="T14" i="35"/>
  <c r="Q14" i="35"/>
  <c r="S14" i="35"/>
  <c r="R14" i="35"/>
  <c r="N10" i="35"/>
  <c r="H7" i="35"/>
  <c r="H8" i="35" s="1"/>
  <c r="H39" i="35" s="1"/>
  <c r="E15" i="28"/>
  <c r="O22" i="35"/>
  <c r="D79" i="28"/>
  <c r="D81" i="28" s="1"/>
  <c r="D82" i="28" s="1"/>
  <c r="D83" i="28" s="1"/>
  <c r="O23" i="35"/>
  <c r="T24" i="35"/>
  <c r="I5" i="35"/>
  <c r="I45" i="38" s="1"/>
  <c r="G39" i="35"/>
  <c r="C82" i="28"/>
  <c r="C83" i="28" s="1"/>
  <c r="C84" i="28" s="1"/>
  <c r="C43" i="36"/>
  <c r="D31" i="30"/>
  <c r="A30" i="30" s="1"/>
  <c r="F15" i="28"/>
  <c r="F13" i="28"/>
  <c r="E14" i="28"/>
  <c r="S27" i="28"/>
  <c r="Q28" i="28"/>
  <c r="H25" i="28"/>
  <c r="U14" i="35" l="1"/>
  <c r="E80" i="28"/>
  <c r="E17" i="28"/>
  <c r="Q21" i="35"/>
  <c r="Q22" i="35" s="1"/>
  <c r="F14" i="28"/>
  <c r="P26" i="35"/>
  <c r="B82" i="28"/>
  <c r="B83" i="28" s="1"/>
  <c r="B84" i="28" s="1"/>
  <c r="B45" i="36" s="1"/>
  <c r="M26" i="35"/>
  <c r="U43" i="35"/>
  <c r="S26" i="35"/>
  <c r="R26" i="35"/>
  <c r="O26" i="35"/>
  <c r="Q26" i="35"/>
  <c r="B17" i="35"/>
  <c r="B18" i="35"/>
  <c r="C18" i="35" s="1"/>
  <c r="D18" i="35" s="1"/>
  <c r="E18" i="35" s="1"/>
  <c r="F18" i="35" s="1"/>
  <c r="B19" i="35"/>
  <c r="H19" i="35"/>
  <c r="G19" i="35"/>
  <c r="D19" i="35"/>
  <c r="C19" i="35"/>
  <c r="F19" i="35"/>
  <c r="B24" i="35"/>
  <c r="C24" i="35" s="1"/>
  <c r="M38" i="35" s="1"/>
  <c r="I19" i="35"/>
  <c r="T11" i="35"/>
  <c r="I42" i="38" s="1"/>
  <c r="I44" i="38"/>
  <c r="I20" i="35" s="1"/>
  <c r="D44" i="38"/>
  <c r="D20" i="35" s="1"/>
  <c r="B44" i="38"/>
  <c r="B20" i="35" s="1"/>
  <c r="F44" i="38"/>
  <c r="F20" i="35" s="1"/>
  <c r="E44" i="38"/>
  <c r="E20" i="35" s="1"/>
  <c r="H44" i="38"/>
  <c r="H20" i="35" s="1"/>
  <c r="G44" i="38"/>
  <c r="G20" i="35" s="1"/>
  <c r="C44" i="38"/>
  <c r="C20" i="35" s="1"/>
  <c r="E19" i="35"/>
  <c r="S10" i="35"/>
  <c r="B13" i="38"/>
  <c r="D43" i="36"/>
  <c r="F79" i="28"/>
  <c r="Q23" i="35"/>
  <c r="E79" i="28"/>
  <c r="P23" i="35"/>
  <c r="I7" i="35"/>
  <c r="I8" i="35" s="1"/>
  <c r="G58" i="35"/>
  <c r="H58" i="35"/>
  <c r="D84" i="28"/>
  <c r="D45" i="36" s="1"/>
  <c r="D44" i="36"/>
  <c r="C45" i="36"/>
  <c r="C44" i="36"/>
  <c r="G15" i="28"/>
  <c r="G13" i="28"/>
  <c r="S28" i="28"/>
  <c r="U27" i="28"/>
  <c r="W27" i="28"/>
  <c r="I25" i="28"/>
  <c r="E81" i="28" l="1"/>
  <c r="T26" i="35"/>
  <c r="F80" i="28"/>
  <c r="F17" i="28"/>
  <c r="R21" i="35"/>
  <c r="R22" i="35" s="1"/>
  <c r="G14" i="28"/>
  <c r="G80" i="28" s="1"/>
  <c r="B44" i="36"/>
  <c r="B21" i="35"/>
  <c r="B25" i="35" s="1"/>
  <c r="C17" i="35"/>
  <c r="D17" i="35" s="1"/>
  <c r="D21" i="35" s="1"/>
  <c r="C65" i="29"/>
  <c r="O25" i="35"/>
  <c r="M25" i="35"/>
  <c r="C42" i="38"/>
  <c r="D42" i="38"/>
  <c r="F42" i="38"/>
  <c r="H42" i="38"/>
  <c r="B42" i="38"/>
  <c r="E42" i="38"/>
  <c r="G42" i="38"/>
  <c r="N25" i="35"/>
  <c r="M27" i="35"/>
  <c r="M41" i="35" s="1"/>
  <c r="C34" i="38" s="1"/>
  <c r="C40" i="38" s="1"/>
  <c r="F81" i="28"/>
  <c r="F82" i="28" s="1"/>
  <c r="F83" i="28" s="1"/>
  <c r="O27" i="35"/>
  <c r="M39" i="35"/>
  <c r="N40" i="35" s="1"/>
  <c r="I47" i="38"/>
  <c r="B22" i="35"/>
  <c r="B40" i="35" s="1"/>
  <c r="P25" i="35"/>
  <c r="G18" i="35"/>
  <c r="D24" i="35"/>
  <c r="E82" i="28"/>
  <c r="E83" i="28" s="1"/>
  <c r="E84" i="28" s="1"/>
  <c r="E45" i="36" s="1"/>
  <c r="E43" i="36"/>
  <c r="G79" i="28"/>
  <c r="R23" i="35"/>
  <c r="I39" i="35"/>
  <c r="B11" i="35"/>
  <c r="H13" i="28"/>
  <c r="H15" i="28"/>
  <c r="S23" i="35" s="1"/>
  <c r="W28" i="28"/>
  <c r="U28" i="28"/>
  <c r="S21" i="35" l="1"/>
  <c r="S22" i="35" s="1"/>
  <c r="T22" i="35" s="1"/>
  <c r="H14" i="28"/>
  <c r="H80" i="28" s="1"/>
  <c r="E17" i="35"/>
  <c r="E21" i="35" s="1"/>
  <c r="C21" i="35"/>
  <c r="C22" i="35" s="1"/>
  <c r="C40" i="35" s="1"/>
  <c r="P27" i="35"/>
  <c r="P28" i="35"/>
  <c r="N27" i="35"/>
  <c r="N41" i="35" s="1"/>
  <c r="D34" i="38" s="1"/>
  <c r="D40" i="38" s="1"/>
  <c r="N28" i="35"/>
  <c r="N29" i="35" s="1"/>
  <c r="N30" i="35" s="1"/>
  <c r="N31" i="35" s="1"/>
  <c r="N42" i="35"/>
  <c r="M42" i="35"/>
  <c r="M43" i="35" s="1"/>
  <c r="M44" i="35" s="1"/>
  <c r="M45" i="35" s="1"/>
  <c r="M28" i="35"/>
  <c r="M29" i="35" s="1"/>
  <c r="M30" i="35" s="1"/>
  <c r="M31" i="35" s="1"/>
  <c r="O28" i="35"/>
  <c r="O29" i="35" s="1"/>
  <c r="O30" i="35" s="1"/>
  <c r="O31" i="35" s="1"/>
  <c r="D12" i="37"/>
  <c r="D13" i="37" s="1"/>
  <c r="F43" i="36"/>
  <c r="G81" i="28"/>
  <c r="G82" i="28" s="1"/>
  <c r="G83" i="28" s="1"/>
  <c r="E44" i="36"/>
  <c r="N43" i="35"/>
  <c r="Q25" i="35"/>
  <c r="H18" i="35"/>
  <c r="D25" i="35"/>
  <c r="D26" i="35" s="1"/>
  <c r="D57" i="35" s="1"/>
  <c r="D22" i="35"/>
  <c r="D40" i="35" s="1"/>
  <c r="P29" i="35"/>
  <c r="P30" i="35" s="1"/>
  <c r="P31" i="35" s="1"/>
  <c r="N38" i="35"/>
  <c r="E24" i="35"/>
  <c r="B26" i="35"/>
  <c r="T21" i="35"/>
  <c r="T23" i="35"/>
  <c r="I58" i="35"/>
  <c r="F84" i="28"/>
  <c r="F45" i="36" s="1"/>
  <c r="F44" i="36"/>
  <c r="H79" i="28"/>
  <c r="I13" i="28"/>
  <c r="I14" i="28" s="1"/>
  <c r="I80" i="28" s="1"/>
  <c r="I15" i="28"/>
  <c r="C25" i="35" l="1"/>
  <c r="C26" i="35" s="1"/>
  <c r="C57" i="35" s="1"/>
  <c r="F17" i="35"/>
  <c r="G17" i="35" s="1"/>
  <c r="N44" i="35"/>
  <c r="N45" i="35" s="1"/>
  <c r="Q28" i="35"/>
  <c r="Q29" i="35" s="1"/>
  <c r="Q30" i="35" s="1"/>
  <c r="Q31" i="35" s="1"/>
  <c r="G43" i="36"/>
  <c r="O38" i="35"/>
  <c r="F24" i="35"/>
  <c r="E25" i="35"/>
  <c r="E26" i="35" s="1"/>
  <c r="E57" i="35" s="1"/>
  <c r="E22" i="35"/>
  <c r="R25" i="35"/>
  <c r="I18" i="35"/>
  <c r="S25" i="35" s="1"/>
  <c r="Q27" i="35"/>
  <c r="N39" i="35"/>
  <c r="O40" i="35" s="1"/>
  <c r="O42" i="35" s="1"/>
  <c r="B57" i="35"/>
  <c r="G84" i="28"/>
  <c r="G45" i="36" s="1"/>
  <c r="G44" i="36"/>
  <c r="H81" i="28"/>
  <c r="I79" i="28"/>
  <c r="I81" i="28" s="1"/>
  <c r="F21" i="35" l="1"/>
  <c r="F22" i="35" s="1"/>
  <c r="F40" i="35" s="1"/>
  <c r="S28" i="35"/>
  <c r="S29" i="35" s="1"/>
  <c r="S30" i="35" s="1"/>
  <c r="S31" i="35" s="1"/>
  <c r="R28" i="35"/>
  <c r="T25" i="35"/>
  <c r="E40" i="35"/>
  <c r="G21" i="35"/>
  <c r="H17" i="35"/>
  <c r="O43" i="35"/>
  <c r="O41" i="35"/>
  <c r="E34" i="38" s="1"/>
  <c r="E40" i="38" s="1"/>
  <c r="P38" i="35"/>
  <c r="G24" i="35"/>
  <c r="S27" i="35"/>
  <c r="R27" i="35"/>
  <c r="O39" i="35"/>
  <c r="P40" i="35" s="1"/>
  <c r="P42" i="35" s="1"/>
  <c r="I82" i="28"/>
  <c r="I83" i="28" s="1"/>
  <c r="I84" i="28" s="1"/>
  <c r="I43" i="36"/>
  <c r="H82" i="28"/>
  <c r="H83" i="28" s="1"/>
  <c r="H43" i="36"/>
  <c r="F25" i="35" l="1"/>
  <c r="F26" i="35" s="1"/>
  <c r="F57" i="35" s="1"/>
  <c r="O44" i="35"/>
  <c r="O45" i="35" s="1"/>
  <c r="R29" i="35"/>
  <c r="R30" i="35" s="1"/>
  <c r="R31" i="35" s="1"/>
  <c r="T28" i="35"/>
  <c r="E22" i="37" s="1"/>
  <c r="P39" i="35"/>
  <c r="G22" i="35"/>
  <c r="G40" i="35" s="1"/>
  <c r="G25" i="35"/>
  <c r="G26" i="35" s="1"/>
  <c r="T27" i="35"/>
  <c r="P43" i="35"/>
  <c r="P41" i="35"/>
  <c r="F34" i="38" s="1"/>
  <c r="F40" i="38" s="1"/>
  <c r="Q38" i="35"/>
  <c r="H24" i="35"/>
  <c r="H21" i="35"/>
  <c r="I17" i="35"/>
  <c r="I21" i="35" s="1"/>
  <c r="C128" i="27"/>
  <c r="A128" i="27"/>
  <c r="A126" i="27"/>
  <c r="H84" i="28"/>
  <c r="H45" i="36" s="1"/>
  <c r="H44" i="36"/>
  <c r="I45" i="36"/>
  <c r="I44" i="36"/>
  <c r="P44" i="35" l="1"/>
  <c r="P45" i="35" s="1"/>
  <c r="Q39" i="35"/>
  <c r="H22" i="35"/>
  <c r="H25" i="35"/>
  <c r="H26" i="35" s="1"/>
  <c r="H57" i="35" s="1"/>
  <c r="R38" i="35"/>
  <c r="I24" i="35"/>
  <c r="S38" i="35" s="1"/>
  <c r="G57" i="35"/>
  <c r="T29" i="35"/>
  <c r="I22" i="35"/>
  <c r="I40" i="35" s="1"/>
  <c r="A143" i="27"/>
  <c r="A145" i="27"/>
  <c r="C145" i="27"/>
  <c r="C143" i="27"/>
  <c r="A139" i="27"/>
  <c r="A136" i="27"/>
  <c r="A133" i="27"/>
  <c r="C133" i="27"/>
  <c r="C136" i="27"/>
  <c r="A125" i="27"/>
  <c r="A47" i="36" s="1"/>
  <c r="B125" i="27"/>
  <c r="B47" i="36" s="1"/>
  <c r="B130" i="27" l="1"/>
  <c r="A48" i="36" s="1"/>
  <c r="T30" i="35"/>
  <c r="E24" i="37" s="1"/>
  <c r="D24" i="37" s="1"/>
  <c r="R39" i="35"/>
  <c r="S39" i="35" s="1"/>
  <c r="T39" i="35" s="1"/>
  <c r="Q40" i="35" s="1"/>
  <c r="Q42" i="35" s="1"/>
  <c r="T38" i="35"/>
  <c r="I25" i="35"/>
  <c r="I26" i="35" s="1"/>
  <c r="I57" i="35" s="1"/>
  <c r="H40" i="35"/>
  <c r="C29" i="35"/>
  <c r="C141" i="27"/>
  <c r="B50" i="36" s="1"/>
  <c r="B141" i="27"/>
  <c r="A50" i="36" s="1"/>
  <c r="C130" i="27"/>
  <c r="B48" i="36" s="1"/>
  <c r="A36" i="22"/>
  <c r="K40" i="23"/>
  <c r="K36" i="23"/>
  <c r="D50" i="23" s="1"/>
  <c r="K34" i="23"/>
  <c r="D49" i="23" s="1"/>
  <c r="K32" i="23"/>
  <c r="D48" i="23" s="1"/>
  <c r="K28" i="23"/>
  <c r="K26" i="23"/>
  <c r="K24" i="23"/>
  <c r="K22" i="23"/>
  <c r="K20" i="23"/>
  <c r="K18" i="23"/>
  <c r="K15" i="23"/>
  <c r="C15" i="23"/>
  <c r="D36" i="22"/>
  <c r="A34" i="22"/>
  <c r="C29" i="22"/>
  <c r="A28" i="22"/>
  <c r="T31" i="35" l="1"/>
  <c r="E26" i="37" s="1"/>
  <c r="D26" i="37" s="1"/>
  <c r="C30" i="35"/>
  <c r="H14" i="37" s="1"/>
  <c r="S40" i="35"/>
  <c r="S42" i="35" s="1"/>
  <c r="D14" i="37"/>
  <c r="E14" i="37"/>
  <c r="Q43" i="35"/>
  <c r="Q41" i="35"/>
  <c r="R40" i="35"/>
  <c r="R42" i="35" s="1"/>
  <c r="A5" i="17"/>
  <c r="A3" i="40" s="1"/>
  <c r="C11" i="40" l="1"/>
  <c r="A153" i="27"/>
  <c r="A156" i="27" s="1"/>
  <c r="Q44" i="35"/>
  <c r="Q45" i="35" s="1"/>
  <c r="G34" i="38"/>
  <c r="G14" i="37"/>
  <c r="R43" i="35"/>
  <c r="R41" i="35"/>
  <c r="S43" i="35"/>
  <c r="T40" i="35"/>
  <c r="T42" i="35" s="1"/>
  <c r="S41" i="35"/>
  <c r="C54" i="13"/>
  <c r="A155" i="27" l="1"/>
  <c r="A157" i="27" s="1"/>
  <c r="A151" i="27" s="1"/>
  <c r="B33" i="37" s="1"/>
  <c r="R44" i="35"/>
  <c r="R45" i="35" s="1"/>
  <c r="S44" i="35"/>
  <c r="S45" i="35" s="1"/>
  <c r="I34" i="38"/>
  <c r="H34" i="38"/>
  <c r="H22" i="37"/>
  <c r="T41" i="35"/>
  <c r="B295" i="17"/>
  <c r="F54" i="13"/>
  <c r="H54" i="13"/>
  <c r="B39" i="37" l="1"/>
  <c r="T43" i="35"/>
  <c r="C184" i="17"/>
  <c r="B109" i="17"/>
  <c r="B108" i="17"/>
  <c r="F80" i="13"/>
  <c r="A81" i="13"/>
  <c r="T44" i="35" l="1"/>
  <c r="H24" i="37" s="1"/>
  <c r="G24" i="37" s="1"/>
  <c r="A117" i="17"/>
  <c r="A119" i="17"/>
  <c r="F105" i="17"/>
  <c r="F78" i="13"/>
  <c r="T45" i="35" l="1"/>
  <c r="A171" i="27" s="1"/>
  <c r="A115" i="17"/>
  <c r="B247" i="17"/>
  <c r="B241" i="17"/>
  <c r="A14" i="13"/>
  <c r="F62" i="13"/>
  <c r="H62" i="13" s="1"/>
  <c r="H21" i="13"/>
  <c r="G21" i="13"/>
  <c r="F21" i="13"/>
  <c r="A173" i="27" l="1"/>
  <c r="A175" i="27"/>
  <c r="H26" i="37"/>
  <c r="G26" i="37" s="1"/>
  <c r="C70" i="17"/>
  <c r="F70" i="17" s="1"/>
  <c r="C72" i="17"/>
  <c r="C71" i="17"/>
  <c r="A169" i="27" l="1"/>
  <c r="B40" i="37" s="1"/>
  <c r="F37" i="13"/>
  <c r="F96" i="13"/>
  <c r="H94" i="13"/>
  <c r="F94" i="13"/>
  <c r="G94" i="13"/>
  <c r="F92" i="13"/>
  <c r="F90" i="13"/>
  <c r="G88" i="13"/>
  <c r="F88" i="13"/>
  <c r="H86" i="13"/>
  <c r="G86" i="13"/>
  <c r="F86" i="13"/>
  <c r="F84" i="13"/>
  <c r="G82" i="13"/>
  <c r="F82" i="13"/>
  <c r="F76" i="13"/>
  <c r="F74" i="13"/>
  <c r="F72" i="13"/>
  <c r="F70" i="13"/>
  <c r="F68" i="13"/>
  <c r="F58" i="13"/>
  <c r="H58" i="13" s="1"/>
  <c r="F66" i="13"/>
  <c r="F64" i="13"/>
  <c r="F60" i="13"/>
  <c r="H60" i="13" s="1"/>
  <c r="F56" i="13"/>
  <c r="H56" i="13" s="1"/>
  <c r="F53" i="13"/>
  <c r="H53" i="13" s="1"/>
  <c r="F51" i="13"/>
  <c r="F49" i="13"/>
  <c r="F43" i="13" l="1"/>
  <c r="F35" i="13"/>
  <c r="F33" i="13"/>
  <c r="F31" i="13"/>
  <c r="G29" i="13"/>
  <c r="F29" i="13"/>
  <c r="C51" i="13" l="1"/>
  <c r="C53" i="13" s="1"/>
  <c r="C64" i="13" s="1"/>
  <c r="C66" i="13" s="1"/>
  <c r="C68" i="13" s="1"/>
  <c r="C70" i="13" s="1"/>
  <c r="C74" i="13" s="1"/>
  <c r="C76" i="13" s="1"/>
  <c r="C78" i="13" s="1"/>
  <c r="C82" i="13" s="1"/>
  <c r="C84" i="13" s="1"/>
  <c r="C86" i="13" s="1"/>
  <c r="C90" i="13" s="1"/>
  <c r="C92" i="13" s="1"/>
  <c r="C27" i="13"/>
  <c r="C29" i="13" s="1"/>
  <c r="C31" i="13" s="1"/>
  <c r="C33" i="13" s="1"/>
  <c r="C35" i="13" s="1"/>
  <c r="C187" i="17"/>
  <c r="B299" i="17"/>
  <c r="B298" i="17" s="1"/>
  <c r="B26" i="28" s="1"/>
  <c r="A16" i="13"/>
  <c r="F108" i="13"/>
  <c r="H106" i="13"/>
  <c r="G106" i="13"/>
  <c r="G104" i="13"/>
  <c r="G108" i="13"/>
  <c r="F106" i="13"/>
  <c r="H104" i="13"/>
  <c r="F104" i="13"/>
  <c r="H102" i="13"/>
  <c r="G102" i="13"/>
  <c r="F102" i="13"/>
  <c r="F100" i="13"/>
  <c r="F98" i="13"/>
  <c r="G41" i="13"/>
  <c r="F41" i="13"/>
  <c r="G27" i="13"/>
  <c r="F27" i="13"/>
  <c r="C37" i="13" l="1"/>
  <c r="C39" i="13" s="1"/>
  <c r="C41" i="13" s="1"/>
  <c r="C43" i="13" s="1"/>
  <c r="C47" i="13" s="1"/>
  <c r="S26" i="28"/>
  <c r="S31" i="28" s="1"/>
  <c r="U26" i="28"/>
  <c r="U31" i="28" s="1"/>
  <c r="O26" i="28"/>
  <c r="O31" i="28" s="1"/>
  <c r="Q26" i="28"/>
  <c r="Q31" i="28" s="1"/>
  <c r="M26" i="28"/>
  <c r="M31" i="28" s="1"/>
  <c r="W26" i="28"/>
  <c r="W31" i="28" s="1"/>
  <c r="K26" i="28"/>
  <c r="K31" i="28" s="1"/>
  <c r="A242" i="17"/>
  <c r="A240" i="17"/>
  <c r="B238" i="17" l="1"/>
  <c r="D71" i="17"/>
  <c r="F71" i="17" s="1"/>
  <c r="E71" i="17" s="1"/>
  <c r="F76" i="17"/>
  <c r="B215" i="17"/>
  <c r="B213" i="17"/>
  <c r="B294" i="17" l="1"/>
  <c r="B87" i="17"/>
  <c r="B86" i="17"/>
  <c r="D76" i="17"/>
  <c r="D72" i="17"/>
  <c r="F72" i="17" s="1"/>
  <c r="E72" i="17" s="1"/>
  <c r="D70" i="17"/>
  <c r="E70" i="17" s="1"/>
  <c r="E75" i="17"/>
  <c r="F75" i="17"/>
  <c r="D75" i="17"/>
  <c r="E76" i="17"/>
  <c r="B49" i="4"/>
  <c r="B48" i="4"/>
  <c r="B51" i="17"/>
  <c r="B53" i="17"/>
  <c r="B55" i="17"/>
  <c r="B49" i="17"/>
  <c r="B149" i="17" l="1"/>
  <c r="B197" i="17" l="1"/>
  <c r="B99" i="17"/>
  <c r="B98" i="17" l="1"/>
  <c r="B123" i="17"/>
  <c r="C196" i="17" s="1"/>
  <c r="P12" i="4" l="1"/>
  <c r="M12" i="4"/>
  <c r="B203" i="17"/>
  <c r="C221" i="17"/>
  <c r="B209" i="17"/>
  <c r="B216" i="17"/>
  <c r="B217" i="17"/>
  <c r="C155" i="17" l="1"/>
  <c r="B155" i="17"/>
  <c r="B248" i="17" l="1"/>
  <c r="B246" i="17"/>
  <c r="B245" i="17"/>
  <c r="B242" i="17"/>
  <c r="B240" i="17"/>
  <c r="B239" i="17"/>
  <c r="C220" i="17"/>
  <c r="B208" i="17"/>
  <c r="C168" i="17"/>
  <c r="D180" i="17" s="1"/>
  <c r="C169" i="17"/>
  <c r="B154" i="17"/>
  <c r="A40" i="13"/>
  <c r="B237" i="17" l="1"/>
  <c r="A184" i="17"/>
  <c r="A193" i="17"/>
  <c r="D167" i="17"/>
  <c r="D153" i="17"/>
  <c r="L12" i="4" s="1"/>
  <c r="E153" i="17"/>
  <c r="A164" i="17" s="1"/>
  <c r="D157" i="17" s="1"/>
  <c r="D234" i="17"/>
  <c r="E234" i="17" s="1"/>
  <c r="B244" i="17"/>
  <c r="D241" i="17" s="1"/>
  <c r="B210" i="17"/>
  <c r="C207" i="17" s="1"/>
  <c r="B107" i="17"/>
  <c r="B122" i="17" s="1"/>
  <c r="B219" i="17" l="1"/>
  <c r="B271" i="17" s="1"/>
  <c r="M13" i="4"/>
  <c r="P13" i="4"/>
  <c r="P11" i="4"/>
  <c r="I13" i="4"/>
  <c r="L13" i="4"/>
  <c r="D240" i="17"/>
  <c r="D235" i="17"/>
  <c r="E235" i="17" s="1"/>
  <c r="G246" i="17"/>
  <c r="H242" i="17"/>
  <c r="G245" i="17"/>
  <c r="E241" i="17"/>
  <c r="F246" i="17"/>
  <c r="E240" i="17"/>
  <c r="F245" i="17"/>
  <c r="B173" i="17"/>
  <c r="A175" i="17"/>
  <c r="A173" i="17"/>
  <c r="B175" i="17"/>
  <c r="B250" i="17"/>
  <c r="B141" i="17"/>
  <c r="C94" i="13"/>
  <c r="G22" i="38" l="1"/>
  <c r="H22" i="38" s="1"/>
  <c r="D22" i="38"/>
  <c r="C22" i="38"/>
  <c r="A258" i="17"/>
  <c r="A255" i="17"/>
  <c r="A171" i="17"/>
  <c r="I19" i="4" s="1"/>
  <c r="H241" i="17"/>
  <c r="D140" i="17"/>
  <c r="A213" i="17"/>
  <c r="D239" i="17"/>
  <c r="A217" i="17"/>
  <c r="B272" i="17"/>
  <c r="A215" i="17"/>
  <c r="A216" i="17"/>
  <c r="E246" i="17"/>
  <c r="E245" i="17"/>
  <c r="E239" i="17"/>
  <c r="G239" i="17" s="1"/>
  <c r="D233" i="17"/>
  <c r="E233" i="17" s="1"/>
  <c r="C233" i="17"/>
  <c r="A271" i="17" s="1"/>
  <c r="E271" i="17" s="1"/>
  <c r="A160" i="17"/>
  <c r="B201" i="17"/>
  <c r="B251" i="17"/>
  <c r="C100" i="13"/>
  <c r="C98" i="13"/>
  <c r="C96" i="13" s="1"/>
  <c r="A72" i="17"/>
  <c r="G72" i="17" s="1"/>
  <c r="A71" i="17"/>
  <c r="G71" i="17" s="1"/>
  <c r="A70" i="17"/>
  <c r="G70" i="17" s="1"/>
  <c r="A45" i="17"/>
  <c r="B43" i="17"/>
  <c r="C69" i="17" s="1"/>
  <c r="B41" i="17"/>
  <c r="B42" i="17"/>
  <c r="D42" i="17" s="1"/>
  <c r="B6" i="17"/>
  <c r="B4" i="17"/>
  <c r="A43" i="17"/>
  <c r="A41" i="17"/>
  <c r="B5" i="17"/>
  <c r="B3" i="40" s="1"/>
  <c r="A42" i="17"/>
  <c r="E33" i="13"/>
  <c r="B297" i="17" l="1"/>
  <c r="B25" i="28" s="1"/>
  <c r="J25" i="28" s="1"/>
  <c r="B2" i="40"/>
  <c r="A212" i="17"/>
  <c r="I25" i="4" s="1"/>
  <c r="A82" i="17"/>
  <c r="A80" i="17"/>
  <c r="B82" i="17"/>
  <c r="B80" i="17"/>
  <c r="A94" i="17"/>
  <c r="A93" i="17"/>
  <c r="B28" i="38"/>
  <c r="A28" i="38"/>
  <c r="C59" i="17"/>
  <c r="F69" i="17"/>
  <c r="D90" i="17"/>
  <c r="A272" i="17"/>
  <c r="E272" i="17" s="1"/>
  <c r="A263" i="17"/>
  <c r="A265" i="17"/>
  <c r="A264" i="17"/>
  <c r="A266" i="17"/>
  <c r="C57" i="17"/>
  <c r="C302" i="17"/>
  <c r="I11" i="4"/>
  <c r="L11" i="4"/>
  <c r="C301" i="17"/>
  <c r="H246" i="17"/>
  <c r="I37" i="4" s="1"/>
  <c r="D41" i="17"/>
  <c r="G235" i="17"/>
  <c r="F235" i="17" s="1"/>
  <c r="G234" i="17"/>
  <c r="F234" i="17" s="1"/>
  <c r="G233" i="17"/>
  <c r="F233" i="17" s="1"/>
  <c r="D155" i="17"/>
  <c r="A145" i="17"/>
  <c r="G240" i="17"/>
  <c r="F239" i="17"/>
  <c r="G241" i="17"/>
  <c r="F241" i="17" s="1"/>
  <c r="C55" i="17"/>
  <c r="C51" i="17"/>
  <c r="C53" i="17"/>
  <c r="C49" i="17"/>
  <c r="B147" i="17"/>
  <c r="B145" i="17"/>
  <c r="C19" i="17"/>
  <c r="C15" i="17"/>
  <c r="C17" i="17"/>
  <c r="C13" i="17"/>
  <c r="A190" i="17"/>
  <c r="A187" i="17" s="1"/>
  <c r="C33" i="17"/>
  <c r="A149" i="17"/>
  <c r="C268" i="17"/>
  <c r="A162" i="17"/>
  <c r="B158" i="17" s="1"/>
  <c r="A203" i="17"/>
  <c r="A201" i="17"/>
  <c r="A199" i="17" s="1"/>
  <c r="A227" i="17"/>
  <c r="A229" i="17"/>
  <c r="A225" i="17"/>
  <c r="G32" i="17"/>
  <c r="D250" i="17"/>
  <c r="E43" i="13"/>
  <c r="E51" i="13" s="1"/>
  <c r="E29" i="13"/>
  <c r="C60" i="17"/>
  <c r="C58" i="17"/>
  <c r="E35" i="13"/>
  <c r="A51" i="17"/>
  <c r="D43" i="17"/>
  <c r="A49" i="17"/>
  <c r="A15" i="17"/>
  <c r="C22" i="17"/>
  <c r="C24" i="17"/>
  <c r="C23" i="17"/>
  <c r="C21" i="17"/>
  <c r="A13" i="17"/>
  <c r="A26" i="17" s="1"/>
  <c r="V25" i="28" l="1"/>
  <c r="L25" i="28"/>
  <c r="T25" i="28"/>
  <c r="N25" i="28"/>
  <c r="P25" i="28"/>
  <c r="R25" i="28"/>
  <c r="G2" i="40"/>
  <c r="G3" i="40"/>
  <c r="B223" i="17"/>
  <c r="M32" i="4" s="1"/>
  <c r="B182" i="17"/>
  <c r="I21" i="4" s="1"/>
  <c r="A182" i="17"/>
  <c r="M11" i="4" s="1"/>
  <c r="A158" i="17"/>
  <c r="A289" i="17"/>
  <c r="A290" i="17"/>
  <c r="A285" i="17"/>
  <c r="B255" i="17"/>
  <c r="B258" i="17"/>
  <c r="I17" i="4"/>
  <c r="A41" i="4"/>
  <c r="B94" i="17"/>
  <c r="B93" i="17"/>
  <c r="A92" i="17" s="1"/>
  <c r="A43" i="4" s="1"/>
  <c r="A17" i="17"/>
  <c r="A27" i="17" s="1"/>
  <c r="E41" i="13"/>
  <c r="E49" i="13" s="1"/>
  <c r="E64" i="13" s="1"/>
  <c r="E70" i="13" s="1"/>
  <c r="E78" i="13" s="1"/>
  <c r="E86" i="13" s="1"/>
  <c r="E94" i="13" s="1"/>
  <c r="E100" i="13" s="1"/>
  <c r="E31" i="13"/>
  <c r="A53" i="17"/>
  <c r="E66" i="13"/>
  <c r="E74" i="13" s="1"/>
  <c r="E82" i="13" s="1"/>
  <c r="E90" i="13" s="1"/>
  <c r="E96" i="13" s="1"/>
  <c r="E102" i="13" s="1"/>
  <c r="E53" i="13"/>
  <c r="E68" i="13" s="1"/>
  <c r="E76" i="13" s="1"/>
  <c r="E84" i="13" s="1"/>
  <c r="E92" i="13" s="1"/>
  <c r="E98" i="13" s="1"/>
  <c r="H33" i="17"/>
  <c r="H34" i="17" s="1"/>
  <c r="C34" i="17"/>
  <c r="A36" i="17" s="1"/>
  <c r="A20" i="4" s="1"/>
  <c r="I23" i="4"/>
  <c r="C76" i="17"/>
  <c r="A86" i="17"/>
  <c r="A87" i="17"/>
  <c r="A288" i="17"/>
  <c r="A287" i="17"/>
  <c r="A286" i="17"/>
  <c r="A19" i="17"/>
  <c r="A29" i="17" s="1"/>
  <c r="A55" i="17"/>
  <c r="A64" i="17" s="1"/>
  <c r="C280" i="17"/>
  <c r="E268" i="17"/>
  <c r="B270" i="17"/>
  <c r="A270" i="17"/>
  <c r="D156" i="17"/>
  <c r="F240" i="17"/>
  <c r="G243" i="17" s="1"/>
  <c r="C75" i="17"/>
  <c r="D69" i="17"/>
  <c r="B296" i="17"/>
  <c r="B293" i="17" s="1"/>
  <c r="B24" i="28" s="1"/>
  <c r="A61" i="17"/>
  <c r="A147" i="17"/>
  <c r="A143" i="17" s="1"/>
  <c r="I15" i="4" s="1"/>
  <c r="A62" i="17"/>
  <c r="A25" i="17"/>
  <c r="C15" i="40" l="1"/>
  <c r="A15" i="40"/>
  <c r="A13" i="40"/>
  <c r="A9" i="40"/>
  <c r="A11" i="40"/>
  <c r="C13" i="40"/>
  <c r="A7" i="40"/>
  <c r="C9" i="40"/>
  <c r="C7" i="40"/>
  <c r="A252" i="17"/>
  <c r="I39" i="4" s="1"/>
  <c r="I12" i="4"/>
  <c r="A284" i="17"/>
  <c r="M50" i="4" s="1"/>
  <c r="C276" i="17"/>
  <c r="A278" i="17"/>
  <c r="A280" i="17"/>
  <c r="A276" i="17"/>
  <c r="J24" i="28"/>
  <c r="J31" i="28" s="1"/>
  <c r="K32" i="28" s="1"/>
  <c r="L24" i="28"/>
  <c r="L31" i="28" s="1"/>
  <c r="M32" i="28" s="1"/>
  <c r="B42" i="28" s="1"/>
  <c r="D42" i="28" s="1"/>
  <c r="N24" i="28"/>
  <c r="N31" i="28" s="1"/>
  <c r="O32" i="28" s="1"/>
  <c r="B43" i="28" s="1"/>
  <c r="D43" i="28" s="1"/>
  <c r="P24" i="28"/>
  <c r="P31" i="28" s="1"/>
  <c r="Q32" i="28" s="1"/>
  <c r="B44" i="28" s="1"/>
  <c r="D44" i="28" s="1"/>
  <c r="R24" i="28"/>
  <c r="R31" i="28" s="1"/>
  <c r="S32" i="28" s="1"/>
  <c r="B45" i="28" s="1"/>
  <c r="D45" i="28" s="1"/>
  <c r="T24" i="28"/>
  <c r="T31" i="28" s="1"/>
  <c r="U32" i="28" s="1"/>
  <c r="V24" i="28"/>
  <c r="V31" i="28" s="1"/>
  <c r="W32" i="28" s="1"/>
  <c r="B74" i="17"/>
  <c r="A34" i="4" s="1"/>
  <c r="A46" i="17"/>
  <c r="D27" i="4" s="1"/>
  <c r="A28" i="17"/>
  <c r="A88" i="17"/>
  <c r="A85" i="17" s="1"/>
  <c r="A65" i="17"/>
  <c r="A59" i="17"/>
  <c r="A23" i="17"/>
  <c r="A57" i="17"/>
  <c r="C278" i="17"/>
  <c r="C45" i="17"/>
  <c r="D25" i="4" s="1"/>
  <c r="A9" i="17"/>
  <c r="D11" i="4" s="1"/>
  <c r="C8" i="17"/>
  <c r="D9" i="4" s="1"/>
  <c r="D272" i="17"/>
  <c r="C272" i="17" s="1"/>
  <c r="D271" i="17"/>
  <c r="D270" i="17"/>
  <c r="C270" i="17" s="1"/>
  <c r="E69" i="17"/>
  <c r="A24" i="17"/>
  <c r="A22" i="17"/>
  <c r="A60" i="17"/>
  <c r="A63" i="17"/>
  <c r="A58" i="17"/>
  <c r="A21" i="17"/>
  <c r="B46" i="28" l="1"/>
  <c r="D46" i="28" s="1"/>
  <c r="B47" i="28"/>
  <c r="D47" i="28" s="1"/>
  <c r="M47" i="4"/>
  <c r="A274" i="17"/>
  <c r="M45" i="4" s="1"/>
  <c r="B274" i="17"/>
  <c r="N41" i="28"/>
  <c r="E44" i="28"/>
  <c r="L41" i="28"/>
  <c r="O41" i="28"/>
  <c r="E45" i="28"/>
  <c r="E43" i="28"/>
  <c r="M41" i="28"/>
  <c r="C7" i="28"/>
  <c r="B41" i="28"/>
  <c r="A58" i="27"/>
  <c r="A62" i="27" s="1"/>
  <c r="A48" i="17"/>
  <c r="D32" i="4" s="1"/>
  <c r="A11" i="17"/>
  <c r="D14" i="4" s="1"/>
  <c r="A47" i="17"/>
  <c r="D30" i="4" s="1"/>
  <c r="A12" i="17"/>
  <c r="D16" i="4" s="1"/>
  <c r="C271" i="17"/>
  <c r="D61" i="28" l="1"/>
  <c r="D43" i="38" s="1"/>
  <c r="D47" i="38" s="1"/>
  <c r="D48" i="38" s="1"/>
  <c r="E61" i="28"/>
  <c r="E43" i="38" s="1"/>
  <c r="E47" i="38" s="1"/>
  <c r="E48" i="38" s="1"/>
  <c r="F61" i="28"/>
  <c r="F43" i="38" s="1"/>
  <c r="F47" i="38" s="1"/>
  <c r="F48" i="38" s="1"/>
  <c r="E46" i="28"/>
  <c r="P41" i="28"/>
  <c r="Q41" i="28"/>
  <c r="E47" i="28"/>
  <c r="C66" i="29"/>
  <c r="C68" i="29" s="1"/>
  <c r="A70" i="29" s="1"/>
  <c r="B10" i="38"/>
  <c r="D41" i="28"/>
  <c r="B52" i="27" s="1"/>
  <c r="A51" i="27"/>
  <c r="B58" i="27"/>
  <c r="A55" i="27" s="1"/>
  <c r="A45" i="25" s="1"/>
  <c r="B68" i="27"/>
  <c r="A67" i="27" s="1"/>
  <c r="A25" i="30" s="1"/>
  <c r="B3" i="28"/>
  <c r="A78" i="17" l="1"/>
  <c r="B4" i="28"/>
  <c r="J3" i="28"/>
  <c r="N3" i="28" s="1"/>
  <c r="A52" i="27"/>
  <c r="A49" i="27" s="1"/>
  <c r="A44" i="25" s="1"/>
  <c r="B51" i="27"/>
  <c r="E41" i="28"/>
  <c r="B61" i="28" s="1"/>
  <c r="K41" i="28"/>
  <c r="N37" i="28"/>
  <c r="N36" i="28"/>
  <c r="E42" i="28"/>
  <c r="A38" i="4"/>
  <c r="C61" i="28" l="1"/>
  <c r="C43" i="38" s="1"/>
  <c r="C47" i="38" s="1"/>
  <c r="C48" i="38" s="1"/>
  <c r="L3" i="28"/>
  <c r="B38" i="30" s="1"/>
  <c r="M3" i="28"/>
  <c r="C42" i="30" s="1"/>
  <c r="K3" i="28"/>
  <c r="B34" i="30"/>
  <c r="B43" i="38"/>
  <c r="B47" i="38" s="1"/>
  <c r="B48" i="38" s="1"/>
  <c r="B50" i="38" s="1"/>
  <c r="C49" i="38" s="1"/>
  <c r="E48" i="28"/>
  <c r="J4" i="28"/>
  <c r="N4" i="28" s="1"/>
  <c r="B5" i="28"/>
  <c r="A36" i="4"/>
  <c r="B97" i="17"/>
  <c r="C50" i="38" l="1"/>
  <c r="D49" i="38" s="1"/>
  <c r="D50" i="38" s="1"/>
  <c r="E49" i="38" s="1"/>
  <c r="E50" i="38" s="1"/>
  <c r="F49" i="38" s="1"/>
  <c r="F50" i="38" s="1"/>
  <c r="G49" i="38" s="1"/>
  <c r="G39" i="38"/>
  <c r="H39" i="38" s="1"/>
  <c r="I39" i="38" s="1"/>
  <c r="L4" i="28"/>
  <c r="D38" i="30" s="1"/>
  <c r="M4" i="28"/>
  <c r="D41" i="30" s="1"/>
  <c r="B41" i="30"/>
  <c r="C41" i="30"/>
  <c r="B36" i="30"/>
  <c r="C40" i="30" s="1"/>
  <c r="B39" i="30" s="1"/>
  <c r="C39" i="30" s="1"/>
  <c r="K4" i="28"/>
  <c r="D36" i="30" s="1"/>
  <c r="E40" i="30" s="1"/>
  <c r="D39" i="30" s="1"/>
  <c r="E39" i="30" s="1"/>
  <c r="D34" i="30"/>
  <c r="B6" i="28"/>
  <c r="J6" i="28" s="1"/>
  <c r="N6" i="28" s="1"/>
  <c r="J5" i="28"/>
  <c r="N5" i="28" s="1"/>
  <c r="B62" i="28"/>
  <c r="B63" i="28" s="1"/>
  <c r="B106" i="17"/>
  <c r="C105" i="17" s="1"/>
  <c r="C96" i="17"/>
  <c r="C132" i="17"/>
  <c r="H59" i="28" l="1"/>
  <c r="H61" i="28" s="1"/>
  <c r="H43" i="38" s="1"/>
  <c r="H47" i="38" s="1"/>
  <c r="H40" i="38"/>
  <c r="G59" i="28"/>
  <c r="G61" i="28" s="1"/>
  <c r="G43" i="38" s="1"/>
  <c r="G47" i="38" s="1"/>
  <c r="G40" i="38"/>
  <c r="I59" i="28"/>
  <c r="I40" i="38"/>
  <c r="I48" i="38" s="1"/>
  <c r="L6" i="28"/>
  <c r="H38" i="30" s="1"/>
  <c r="M6" i="28"/>
  <c r="I42" i="30" s="1"/>
  <c r="L5" i="28"/>
  <c r="F38" i="30" s="1"/>
  <c r="M5" i="28"/>
  <c r="G42" i="30" s="1"/>
  <c r="E41" i="30"/>
  <c r="E42" i="30"/>
  <c r="K6" i="28"/>
  <c r="H36" i="30" s="1"/>
  <c r="I40" i="30" s="1"/>
  <c r="H34" i="30"/>
  <c r="K5" i="28"/>
  <c r="F34" i="30"/>
  <c r="H49" i="4"/>
  <c r="A137" i="17"/>
  <c r="A138" i="17"/>
  <c r="A129" i="17"/>
  <c r="B129" i="17"/>
  <c r="B127" i="17"/>
  <c r="C121" i="17"/>
  <c r="H48" i="4" s="1"/>
  <c r="A127" i="17"/>
  <c r="A113" i="17"/>
  <c r="A112" i="17"/>
  <c r="B112" i="17"/>
  <c r="A103" i="17"/>
  <c r="A102" i="17"/>
  <c r="B102" i="17"/>
  <c r="B64" i="28"/>
  <c r="B54" i="28" s="1"/>
  <c r="B41" i="35"/>
  <c r="D49" i="4"/>
  <c r="D48" i="4"/>
  <c r="E106" i="17"/>
  <c r="E108" i="17"/>
  <c r="E97" i="17"/>
  <c r="E99" i="17"/>
  <c r="A134" i="17"/>
  <c r="I6" i="4" s="1"/>
  <c r="G48" i="38" l="1"/>
  <c r="G50" i="38" s="1"/>
  <c r="H49" i="38" s="1"/>
  <c r="H48" i="38"/>
  <c r="I3" i="4"/>
  <c r="F36" i="30"/>
  <c r="G40" i="30" s="1"/>
  <c r="F39" i="30" s="1"/>
  <c r="G39" i="30" s="1"/>
  <c r="A136" i="17"/>
  <c r="E49" i="4" s="1"/>
  <c r="B136" i="17"/>
  <c r="I5" i="4" s="1"/>
  <c r="A125" i="17"/>
  <c r="A111" i="17"/>
  <c r="A52" i="4" s="1"/>
  <c r="A101" i="17"/>
  <c r="A51" i="4" s="1"/>
  <c r="H41" i="30"/>
  <c r="I41" i="30"/>
  <c r="F41" i="30"/>
  <c r="G41" i="30"/>
  <c r="H39" i="30"/>
  <c r="I39" i="30" s="1"/>
  <c r="B65" i="28"/>
  <c r="B67" i="28" s="1"/>
  <c r="B53" i="28"/>
  <c r="B59" i="35"/>
  <c r="B60" i="35" s="1"/>
  <c r="B61" i="35" s="1"/>
  <c r="B42" i="35"/>
  <c r="B43" i="35" s="1"/>
  <c r="E107" i="17"/>
  <c r="E105" i="17" s="1"/>
  <c r="A49" i="4" s="1"/>
  <c r="E98" i="17"/>
  <c r="E96" i="17" s="1"/>
  <c r="A48" i="4" s="1"/>
  <c r="H50" i="38" l="1"/>
  <c r="I49" i="38" s="1"/>
  <c r="I50" i="38" s="1"/>
  <c r="B66" i="28"/>
  <c r="B44" i="35"/>
  <c r="B36" i="35"/>
  <c r="B35" i="35"/>
  <c r="B62" i="35"/>
  <c r="B54" i="35"/>
  <c r="B53" i="35"/>
  <c r="E48" i="4"/>
  <c r="I16" i="28"/>
  <c r="H23" i="38" l="1"/>
  <c r="G23" i="38"/>
  <c r="C23" i="38"/>
  <c r="B63" i="35"/>
  <c r="B64" i="35"/>
  <c r="B46" i="35"/>
  <c r="B45" i="35"/>
  <c r="F47" i="28"/>
  <c r="G47" i="28" s="1"/>
  <c r="I57" i="28"/>
  <c r="F44" i="28"/>
  <c r="G44" i="28" s="1"/>
  <c r="H44" i="28" s="1"/>
  <c r="F57" i="28"/>
  <c r="F46" i="28"/>
  <c r="G46" i="28" s="1"/>
  <c r="H57" i="28"/>
  <c r="F41" i="28"/>
  <c r="G41" i="28" s="1"/>
  <c r="C57" i="28"/>
  <c r="F42" i="28"/>
  <c r="G42" i="28" s="1"/>
  <c r="D57" i="28"/>
  <c r="F43" i="28"/>
  <c r="G43" i="28" s="1"/>
  <c r="E57" i="28"/>
  <c r="F45" i="28"/>
  <c r="G45" i="28" s="1"/>
  <c r="H45" i="28" s="1"/>
  <c r="G57" i="28"/>
  <c r="I17" i="28"/>
  <c r="G19" i="28"/>
  <c r="C44" i="30"/>
  <c r="D43" i="30"/>
  <c r="G44" i="30"/>
  <c r="I44" i="30"/>
  <c r="D23" i="38"/>
  <c r="K42" i="28" l="1"/>
  <c r="H41" i="28"/>
  <c r="M42" i="28"/>
  <c r="H43" i="28"/>
  <c r="L42" i="28"/>
  <c r="H42" i="28"/>
  <c r="P42" i="28"/>
  <c r="H46" i="28"/>
  <c r="Q42" i="28"/>
  <c r="H47" i="28"/>
  <c r="E43" i="30"/>
  <c r="D48" i="30" s="1"/>
  <c r="D49" i="30" s="1"/>
  <c r="E44" i="30"/>
  <c r="B43" i="30"/>
  <c r="C43" i="30"/>
  <c r="B48" i="30" s="1"/>
  <c r="B49" i="30" s="1"/>
  <c r="N42" i="28"/>
  <c r="H43" i="30"/>
  <c r="I43" i="30"/>
  <c r="H48" i="30" s="1"/>
  <c r="H49" i="30" s="1"/>
  <c r="F43" i="30"/>
  <c r="G43" i="30"/>
  <c r="F48" i="30" s="1"/>
  <c r="F49" i="30" s="1"/>
  <c r="A29" i="38"/>
  <c r="B29" i="38"/>
  <c r="K37" i="28"/>
  <c r="O42" i="28"/>
  <c r="E62" i="28"/>
  <c r="C62" i="28"/>
  <c r="C63" i="28" s="1"/>
  <c r="F62" i="28"/>
  <c r="G62" i="28"/>
  <c r="D62" i="28"/>
  <c r="H62" i="28"/>
  <c r="I62" i="28"/>
  <c r="K36" i="28"/>
  <c r="I63" i="28" l="1"/>
  <c r="I41" i="35" s="1"/>
  <c r="H63" i="28"/>
  <c r="H41" i="35" s="1"/>
  <c r="G63" i="28"/>
  <c r="G41" i="35" s="1"/>
  <c r="F63" i="28"/>
  <c r="F41" i="35" s="1"/>
  <c r="E63" i="28"/>
  <c r="E41" i="35" s="1"/>
  <c r="D63" i="28"/>
  <c r="D41" i="35" s="1"/>
  <c r="C58" i="35" s="1"/>
  <c r="A94" i="27"/>
  <c r="A92" i="27"/>
  <c r="B94" i="27"/>
  <c r="C64" i="28"/>
  <c r="C41" i="35"/>
  <c r="B13" i="36"/>
  <c r="A13" i="36"/>
  <c r="A90" i="27" l="1"/>
  <c r="B15" i="36" s="1"/>
  <c r="I42" i="35"/>
  <c r="I59" i="35"/>
  <c r="I60" i="35" s="1"/>
  <c r="H59" i="35"/>
  <c r="H60" i="35" s="1"/>
  <c r="H42" i="35"/>
  <c r="G59" i="35"/>
  <c r="G60" i="35" s="1"/>
  <c r="G42" i="35"/>
  <c r="F42" i="35"/>
  <c r="F59" i="35"/>
  <c r="F60" i="35" s="1"/>
  <c r="B52" i="28"/>
  <c r="C68" i="28" s="1"/>
  <c r="E42" i="35"/>
  <c r="E59" i="35"/>
  <c r="E60" i="35" s="1"/>
  <c r="D59" i="35"/>
  <c r="D60" i="35" s="1"/>
  <c r="D42" i="35"/>
  <c r="D64" i="28"/>
  <c r="D65" i="28" s="1"/>
  <c r="D67" i="28" s="1"/>
  <c r="C53" i="28"/>
  <c r="C65" i="28"/>
  <c r="C66" i="28" s="1"/>
  <c r="C54" i="28"/>
  <c r="C59" i="35"/>
  <c r="C60" i="35" s="1"/>
  <c r="C61" i="35" s="1"/>
  <c r="C42" i="35"/>
  <c r="C43" i="35" s="1"/>
  <c r="B107" i="27" l="1"/>
  <c r="D10" i="37"/>
  <c r="D11" i="37" s="1"/>
  <c r="B100" i="27"/>
  <c r="B103" i="27"/>
  <c r="A114" i="27"/>
  <c r="D66" i="28"/>
  <c r="D54" i="28"/>
  <c r="E64" i="28"/>
  <c r="E53" i="28" s="1"/>
  <c r="A100" i="27"/>
  <c r="A31" i="36"/>
  <c r="A107" i="27"/>
  <c r="A116" i="27"/>
  <c r="A112" i="27"/>
  <c r="B35" i="36"/>
  <c r="B31" i="36"/>
  <c r="A103" i="27"/>
  <c r="D53" i="28"/>
  <c r="C67" i="28"/>
  <c r="C44" i="35"/>
  <c r="C35" i="35"/>
  <c r="C36" i="35"/>
  <c r="D43" i="35"/>
  <c r="D61" i="35"/>
  <c r="C54" i="35"/>
  <c r="C62" i="35"/>
  <c r="C53" i="35"/>
  <c r="E16" i="37" l="1"/>
  <c r="B116" i="27"/>
  <c r="A35" i="36"/>
  <c r="B112" i="27"/>
  <c r="A97" i="27"/>
  <c r="A33" i="36" s="1"/>
  <c r="B114" i="27"/>
  <c r="E65" i="28"/>
  <c r="E66" i="28" s="1"/>
  <c r="E54" i="28"/>
  <c r="F64" i="28"/>
  <c r="F65" i="28" s="1"/>
  <c r="F67" i="28" s="1"/>
  <c r="H16" i="37"/>
  <c r="D44" i="35"/>
  <c r="D35" i="35"/>
  <c r="E43" i="35"/>
  <c r="D36" i="35"/>
  <c r="C63" i="35"/>
  <c r="C64" i="35"/>
  <c r="D62" i="35"/>
  <c r="D53" i="35"/>
  <c r="D54" i="35"/>
  <c r="E61" i="35"/>
  <c r="C45" i="35"/>
  <c r="C46" i="35"/>
  <c r="B31" i="37" l="1"/>
  <c r="D16" i="37"/>
  <c r="A110" i="27"/>
  <c r="A36" i="36" s="1"/>
  <c r="E18" i="37"/>
  <c r="D18" i="37" s="1"/>
  <c r="H18" i="37"/>
  <c r="G18" i="37" s="1"/>
  <c r="G64" i="28"/>
  <c r="H64" i="28" s="1"/>
  <c r="H54" i="28" s="1"/>
  <c r="E67" i="28"/>
  <c r="F53" i="28"/>
  <c r="F66" i="28"/>
  <c r="F54" i="28"/>
  <c r="G16" i="37"/>
  <c r="F61" i="35"/>
  <c r="E54" i="35"/>
  <c r="E53" i="35"/>
  <c r="E62" i="35"/>
  <c r="D64" i="35"/>
  <c r="D63" i="35"/>
  <c r="E35" i="35"/>
  <c r="F43" i="35"/>
  <c r="E36" i="35"/>
  <c r="E44" i="35"/>
  <c r="D45" i="35"/>
  <c r="D46" i="35"/>
  <c r="H65" i="28" l="1"/>
  <c r="H66" i="28" s="1"/>
  <c r="G53" i="28"/>
  <c r="I64" i="28"/>
  <c r="I65" i="28" s="1"/>
  <c r="G54" i="28"/>
  <c r="H53" i="28"/>
  <c r="G65" i="28"/>
  <c r="G67" i="28" s="1"/>
  <c r="E45" i="35"/>
  <c r="E46" i="35"/>
  <c r="F44" i="35"/>
  <c r="F35" i="35"/>
  <c r="F36" i="35"/>
  <c r="G43" i="35"/>
  <c r="E64" i="35"/>
  <c r="E63" i="35"/>
  <c r="G61" i="35"/>
  <c r="F53" i="35"/>
  <c r="F62" i="35"/>
  <c r="F54" i="35"/>
  <c r="I53" i="28"/>
  <c r="D68" i="28" l="1"/>
  <c r="H67" i="28"/>
  <c r="I54" i="28"/>
  <c r="D69" i="28" s="1"/>
  <c r="E69" i="28" s="1"/>
  <c r="G66" i="28"/>
  <c r="G44" i="35"/>
  <c r="H43" i="35"/>
  <c r="G36" i="35"/>
  <c r="G35" i="35"/>
  <c r="F63" i="35"/>
  <c r="F64" i="35"/>
  <c r="G62" i="35"/>
  <c r="H61" i="35"/>
  <c r="G54" i="35"/>
  <c r="G53" i="35"/>
  <c r="F45" i="35"/>
  <c r="F46" i="35"/>
  <c r="I67" i="28"/>
  <c r="I66" i="28"/>
  <c r="E68" i="28" l="1"/>
  <c r="E70" i="28" s="1"/>
  <c r="F70" i="28" s="1"/>
  <c r="G64" i="35"/>
  <c r="G63" i="35"/>
  <c r="G46" i="35"/>
  <c r="G45" i="35"/>
  <c r="H54" i="35"/>
  <c r="I61" i="35"/>
  <c r="H53" i="35"/>
  <c r="H62" i="35"/>
  <c r="H36" i="35"/>
  <c r="I43" i="35"/>
  <c r="H35" i="35"/>
  <c r="H44" i="35"/>
  <c r="G69" i="28" l="1"/>
  <c r="H45" i="35"/>
  <c r="H46" i="35"/>
  <c r="I44" i="35"/>
  <c r="I35" i="35"/>
  <c r="A48" i="35" s="1"/>
  <c r="I36" i="35"/>
  <c r="A49" i="35" s="1"/>
  <c r="B49" i="35" s="1"/>
  <c r="H63" i="35"/>
  <c r="H64" i="35"/>
  <c r="I62" i="35"/>
  <c r="I54" i="35"/>
  <c r="A67" i="35" s="1"/>
  <c r="B67" i="35" s="1"/>
  <c r="I53" i="35"/>
  <c r="A66" i="35" s="1"/>
  <c r="E71" i="28"/>
  <c r="B66" i="35" l="1"/>
  <c r="D67" i="35" s="1"/>
  <c r="B48" i="35"/>
  <c r="G68" i="28"/>
  <c r="A37" i="36" s="1"/>
  <c r="A70" i="28"/>
  <c r="I63" i="35"/>
  <c r="I64" i="35"/>
  <c r="I46" i="35"/>
  <c r="I45" i="35"/>
  <c r="B122" i="27" l="1"/>
  <c r="B37" i="36"/>
  <c r="A121" i="27"/>
  <c r="A122" i="27" s="1"/>
  <c r="D66" i="35"/>
  <c r="G20" i="37" s="1"/>
  <c r="D49" i="35"/>
  <c r="B162" i="27"/>
  <c r="H20" i="37"/>
  <c r="A119" i="27" l="1"/>
  <c r="A38" i="36" s="1"/>
  <c r="D48" i="35"/>
  <c r="D20" i="37" s="1"/>
  <c r="B166" i="27"/>
  <c r="A164" i="27"/>
  <c r="A166" i="27"/>
  <c r="A162" i="27"/>
  <c r="E20" i="37"/>
  <c r="B164" i="27"/>
  <c r="A160" i="27" l="1"/>
  <c r="B36" i="37" s="1"/>
  <c r="A223" i="17"/>
  <c r="M30" i="4" s="1"/>
  <c r="G242" i="17"/>
</calcChain>
</file>

<file path=xl/sharedStrings.xml><?xml version="1.0" encoding="utf-8"?>
<sst xmlns="http://schemas.openxmlformats.org/spreadsheetml/2006/main" count="900" uniqueCount="709">
  <si>
    <t>CAF</t>
  </si>
  <si>
    <t>Analyse financière de l'entreprise</t>
  </si>
  <si>
    <t>IR au réel simplifié</t>
  </si>
  <si>
    <t>IR au réel normal</t>
  </si>
  <si>
    <t>Franchise en base de TVA</t>
  </si>
  <si>
    <t>BFRE :</t>
  </si>
  <si>
    <t>jours de CAHT</t>
  </si>
  <si>
    <t>Questionnaire - Analyse Financière</t>
  </si>
  <si>
    <t>Répondez aux questions dans la partie grisée, à l'aide de votre de dossier de gestion et de prévention économique (DG-PE) OU de votre liasse fiscale (LF).</t>
  </si>
  <si>
    <t>OU</t>
  </si>
  <si>
    <t>CA HT Année N</t>
  </si>
  <si>
    <t>CA HT Année N-1</t>
  </si>
  <si>
    <t>CA HT Année N-2</t>
  </si>
  <si>
    <t>Résultat d'exploitation</t>
  </si>
  <si>
    <t>Résultat financier</t>
  </si>
  <si>
    <t>Résultat exceptionnel</t>
  </si>
  <si>
    <t>Intérêts</t>
  </si>
  <si>
    <t>Marge globale</t>
  </si>
  <si>
    <t>Liasse Fiscale</t>
  </si>
  <si>
    <t>I. Analyse de l'activité et de la performance économique</t>
  </si>
  <si>
    <t>Evolution du chiffre d'affaires :</t>
  </si>
  <si>
    <t>Année</t>
  </si>
  <si>
    <t>Chiffre d'affaires HT</t>
  </si>
  <si>
    <t>Commentaires retenus :</t>
  </si>
  <si>
    <t>Marge Brute ou Marge globale :</t>
  </si>
  <si>
    <t>Marge brute retenue</t>
  </si>
  <si>
    <t>Soit taux de marge brute</t>
  </si>
  <si>
    <t>Très bonne évolution du chiffre d'affaires</t>
  </si>
  <si>
    <t>En moyenne, bonne évolution du chiffre d'affaires</t>
  </si>
  <si>
    <t>Bonne évolution du chiffre d'affaires</t>
  </si>
  <si>
    <t>Régression de l'activité : situation inquiétante</t>
  </si>
  <si>
    <t>Marge brute</t>
  </si>
  <si>
    <t>Prix de vente</t>
  </si>
  <si>
    <t>Coût de revient</t>
  </si>
  <si>
    <t>Résultat net N</t>
  </si>
  <si>
    <t>Résultat net N-1</t>
  </si>
  <si>
    <t>Résultat net N-2</t>
  </si>
  <si>
    <t>Evolution du RNC :</t>
  </si>
  <si>
    <t>Très bonne évolution du Résultat Net</t>
  </si>
  <si>
    <t>Bonne évolution du Résultat Net</t>
  </si>
  <si>
    <t>En moyenne, bonne évolution du Résultat Net</t>
  </si>
  <si>
    <t xml:space="preserve">Régression du bénéfice </t>
  </si>
  <si>
    <t>Résultat Net</t>
  </si>
  <si>
    <t>Décomposition du RNC :</t>
  </si>
  <si>
    <t>Marge Nette ou Taux de profitabilité :</t>
  </si>
  <si>
    <t>II. Analyse de la rentabilité</t>
  </si>
  <si>
    <t>TOTAL Ressources Propres</t>
  </si>
  <si>
    <t>Emprunts, dettes assimilées</t>
  </si>
  <si>
    <t>RE</t>
  </si>
  <si>
    <t>Actif Eco</t>
  </si>
  <si>
    <t>RF</t>
  </si>
  <si>
    <t>CP</t>
  </si>
  <si>
    <t>Effet de levier :</t>
  </si>
  <si>
    <t>Rd :</t>
  </si>
  <si>
    <t>DF</t>
  </si>
  <si>
    <t>Ra</t>
  </si>
  <si>
    <t>Rc</t>
  </si>
  <si>
    <t>Ratio d'autonomie financière :</t>
  </si>
  <si>
    <t>Total Passif</t>
  </si>
  <si>
    <t>Ratio de solvabilité générale :</t>
  </si>
  <si>
    <t>Total Actif</t>
  </si>
  <si>
    <t>Total Dettes</t>
  </si>
  <si>
    <t>Amortissements et provisions</t>
  </si>
  <si>
    <t>Total liquidités</t>
  </si>
  <si>
    <t>TOTAL ACTIF</t>
  </si>
  <si>
    <t>Comptes Courants d'associés</t>
  </si>
  <si>
    <t>Fourn. et comptes rattachés</t>
  </si>
  <si>
    <t>Capacité d'autofinancement</t>
  </si>
  <si>
    <t>TOTAL DETTES</t>
  </si>
  <si>
    <t>Ratio de liquidité immédiate :</t>
  </si>
  <si>
    <t>Trésorerie active :</t>
  </si>
  <si>
    <t>Passif &lt; 1 an :</t>
  </si>
  <si>
    <t>Ratio d'endettement financier :</t>
  </si>
  <si>
    <t>Capacité d'endettement :</t>
  </si>
  <si>
    <t>Taux d'obsolescence :</t>
  </si>
  <si>
    <t>Amort et prov</t>
  </si>
  <si>
    <t>Immo net</t>
  </si>
  <si>
    <t>Immo brute</t>
  </si>
  <si>
    <t>Provisions risques et charges</t>
  </si>
  <si>
    <t>Prov risques et charges</t>
  </si>
  <si>
    <t>Emprunts, dettes</t>
  </si>
  <si>
    <t>FRNG :</t>
  </si>
  <si>
    <t>Stocks et en-cours</t>
  </si>
  <si>
    <t>Autres créances</t>
  </si>
  <si>
    <t>Autres dettes</t>
  </si>
  <si>
    <t>Client et comptes rattachés</t>
  </si>
  <si>
    <t>Avances et acomptes clients</t>
  </si>
  <si>
    <t>Stocks</t>
  </si>
  <si>
    <t>Créances Clients</t>
  </si>
  <si>
    <t>Dettes Fourn</t>
  </si>
  <si>
    <t>BFRHE :</t>
  </si>
  <si>
    <t xml:space="preserve">Autres dettes </t>
  </si>
  <si>
    <t>BFR :</t>
  </si>
  <si>
    <t>Charges constatées d'avances</t>
  </si>
  <si>
    <t>Produits constatés d'avances</t>
  </si>
  <si>
    <t>CCA</t>
  </si>
  <si>
    <t>PCA</t>
  </si>
  <si>
    <t>Trésorerie Nette :</t>
  </si>
  <si>
    <t xml:space="preserve">Rentabilité économique </t>
  </si>
  <si>
    <t xml:space="preserve">Rentabilité financière </t>
  </si>
  <si>
    <t>Levier opérationnel</t>
  </si>
  <si>
    <t>Effet de levier</t>
  </si>
  <si>
    <t>III. Analyse de la structure financière</t>
  </si>
  <si>
    <t>Autonomie financière</t>
  </si>
  <si>
    <t>Solvabilité générale</t>
  </si>
  <si>
    <t>liquidité immédiate</t>
  </si>
  <si>
    <t>Ratio d'endettement</t>
  </si>
  <si>
    <t>Taux d'obsolescence</t>
  </si>
  <si>
    <t>Capacité d'endettement</t>
  </si>
  <si>
    <t>L'entreprise est apte à honorer ses engagements, sauf envers ses associés (comptes courants d'associés) s'il devait y avoir une liquidation de l'ensemble de la société.</t>
  </si>
  <si>
    <t>L'entreprise n'est pas en mesure d'honorer ses engagements s'il devait y avoir une liquidation de l'ensemble de la société.</t>
  </si>
  <si>
    <t>L'entreprise est apte à honorer ses engagements, même envers ses associés (comptes courants d'associés) s'il devait y avoir une liquidation de l'ensemble de la société.</t>
  </si>
  <si>
    <t>sans CCA</t>
  </si>
  <si>
    <t>IV. Analyse des flux de trésorerie</t>
  </si>
  <si>
    <t>Mauvaise si &lt;0</t>
  </si>
  <si>
    <t>Bonne si &gt; 5%</t>
  </si>
  <si>
    <t>Moyenne si entre 0 et 5%</t>
  </si>
  <si>
    <t>Ressources stables</t>
  </si>
  <si>
    <t>Emplois stables</t>
  </si>
  <si>
    <t>Coût d'achat</t>
  </si>
  <si>
    <t>Crédit Clients</t>
  </si>
  <si>
    <t>jours de CA TTC</t>
  </si>
  <si>
    <t>Crédit Fournisseurs</t>
  </si>
  <si>
    <t>Achats TTC*</t>
  </si>
  <si>
    <t>Achats March. et Mat. Prem</t>
  </si>
  <si>
    <t>jours d'achat TTC</t>
  </si>
  <si>
    <t>BFRE en jours de CA HT</t>
  </si>
  <si>
    <t>Charges financières (intérêts)</t>
  </si>
  <si>
    <t>Lorsque ce ratio est supérieur à 66%, l'entreprise est fortement dépendante des capitaux extérieurs. Elle est dans une situation économique très risquée en cas de retournement de la conjoncture.</t>
  </si>
  <si>
    <t>EVOLUTION DU CHIFFRE D'AFFAIRES</t>
  </si>
  <si>
    <t>COMPOSITION DE LA MARGE BRUTE</t>
  </si>
  <si>
    <t>EVOLUTION DU RESULTAT NET</t>
  </si>
  <si>
    <t>COMPOSITION DU RESULTAT NET</t>
  </si>
  <si>
    <t>TAUX DE PROFITABILITE</t>
  </si>
  <si>
    <t>On constate un fonds de roulement nul : les ressources stables couvrent les emplois sans qu'un excédent ne soit généré.</t>
  </si>
  <si>
    <t>La structure de financement est déséquilibrée. Les investissements durables ne sont pas intégralement financés par des ressources stables.</t>
  </si>
  <si>
    <t>On constate un fonds de roulement positif : les ressources stables financent en intégralité les emplois durables.</t>
  </si>
  <si>
    <t>STRUCTURE DU BILAN FONCTIONNEL</t>
  </si>
  <si>
    <t>COMPOSITION DU BESOIN EN FONDS DE ROULEMENT</t>
  </si>
  <si>
    <t>SITUATION DE LA TRESORERIE NETTE</t>
  </si>
  <si>
    <t>Données pour Graphique</t>
  </si>
  <si>
    <t>Levier opérationnel :</t>
  </si>
  <si>
    <t>Levier opérationnel faible : risque maîtrisé</t>
  </si>
  <si>
    <t>RN</t>
  </si>
  <si>
    <t>Si &lt; 0</t>
  </si>
  <si>
    <t>Si &gt; 0</t>
  </si>
  <si>
    <t>Rexpl</t>
  </si>
  <si>
    <t>Rfin</t>
  </si>
  <si>
    <t>Rexc</t>
  </si>
  <si>
    <t>FR</t>
  </si>
  <si>
    <t>FRE</t>
  </si>
  <si>
    <t>FRHE</t>
  </si>
  <si>
    <t>Levier opérationnel élevé : risque important</t>
  </si>
  <si>
    <t>Ratios de rotation (TE) :</t>
  </si>
  <si>
    <t>BFR en jours de CA HT</t>
  </si>
  <si>
    <t>3) Renseignez les cases suivantes :</t>
  </si>
  <si>
    <t>Menus déroulants :</t>
  </si>
  <si>
    <t>DG-PE</t>
  </si>
  <si>
    <t>Votre compte de résultat</t>
  </si>
  <si>
    <t>Vos bilans comparés</t>
  </si>
  <si>
    <t>TOTAL ACTIF Immobilisé Net</t>
  </si>
  <si>
    <t>Avances et acomptes fourn</t>
  </si>
  <si>
    <t>La capacité d'autofin</t>
  </si>
  <si>
    <t>Régression de l'activité, à surveiller</t>
  </si>
  <si>
    <t>Rémunération de l'exploitant</t>
  </si>
  <si>
    <t>Capital Social</t>
  </si>
  <si>
    <r>
      <t xml:space="preserve">Quel est votre régime d'imposition ? </t>
    </r>
    <r>
      <rPr>
        <i/>
        <u/>
        <sz val="10"/>
        <color theme="1"/>
        <rFont val="Calibri"/>
        <family val="2"/>
        <scheme val="minor"/>
      </rPr>
      <t>Activez le menu déroulant</t>
    </r>
  </si>
  <si>
    <t>Quel est votre statut juridique ?</t>
  </si>
  <si>
    <t>Entreprise Individuelle</t>
  </si>
  <si>
    <t>EURL</t>
  </si>
  <si>
    <t>SARL</t>
  </si>
  <si>
    <t>SASU</t>
  </si>
  <si>
    <t xml:space="preserve">SAS </t>
  </si>
  <si>
    <t>Les capitaux propres sont négatifs. L'entreprise est dans une situation financière très risquée. Le financement de l'entreprise provient majoritairement de sources externes.</t>
  </si>
  <si>
    <t>Le BFR Global résulte d'un BFR d'exploitation.</t>
  </si>
  <si>
    <t>L'EFR Global résulte d'un EFR d'exploitation.</t>
  </si>
  <si>
    <t>Le BFR d'Exploitation réduit l'Excédent en Fonds de Roulement Global.</t>
  </si>
  <si>
    <t>L'EFR d'Exploitation réduit le BFR Global.</t>
  </si>
  <si>
    <t>Autres achats/ch. externes</t>
  </si>
  <si>
    <t>Stock N</t>
  </si>
  <si>
    <t>Stock N-1</t>
  </si>
  <si>
    <t>Nous recommandons de renseigner la capacité d'autofinancement à partir du DG-PE pour les entreprises au réel simplifié, car les éléments de la liasse fiscale ne sont pas suffisants pour avoir une estimation précise.</t>
  </si>
  <si>
    <t>Il serait intéressant de comparer la marge brute de l'entreprise avec celle de son secteur d'activité.</t>
  </si>
  <si>
    <t>Questionnaire - Présentation</t>
  </si>
  <si>
    <t>Répondez aux questions dans la partie grisée.</t>
  </si>
  <si>
    <t>1) Quel est votre projet de développement ?</t>
  </si>
  <si>
    <t>2) Quel est la nature de votre activité ?</t>
  </si>
  <si>
    <t>3) Quel est le nom de votre entreprise, si elle en a un ?</t>
  </si>
  <si>
    <t>4) Quelle est l'adresse de votre entreprise ?</t>
  </si>
  <si>
    <t>5) Quelle est la date de création de votre entreprise ?</t>
  </si>
  <si>
    <t>6) Quel est son numéro SIRET ?</t>
  </si>
  <si>
    <r>
      <t>7) Quelle est sa forme juridique ?</t>
    </r>
    <r>
      <rPr>
        <i/>
        <sz val="11"/>
        <color theme="1"/>
        <rFont val="Calibri"/>
        <family val="2"/>
        <scheme val="minor"/>
      </rPr>
      <t xml:space="preserve"> </t>
    </r>
    <r>
      <rPr>
        <i/>
        <u/>
        <sz val="11"/>
        <color theme="1"/>
        <rFont val="Calibri"/>
        <family val="2"/>
        <scheme val="minor"/>
      </rPr>
      <t>Activez le menu déroulant</t>
    </r>
  </si>
  <si>
    <r>
      <t xml:space="preserve">8) Quel est votre régime d'imposition ? </t>
    </r>
    <r>
      <rPr>
        <i/>
        <u/>
        <sz val="11"/>
        <color theme="1"/>
        <rFont val="Calibri"/>
        <family val="2"/>
        <scheme val="minor"/>
      </rPr>
      <t>Activez le menu déroulant</t>
    </r>
  </si>
  <si>
    <t>Tous les mois</t>
  </si>
  <si>
    <t>9) Nom et Prénom du dirigeant :</t>
  </si>
  <si>
    <t>10) Numéro de téléphone :</t>
  </si>
  <si>
    <t>11) Adresse E-mail :</t>
  </si>
  <si>
    <t>12) Effectif de l'entreprise, y compris le dirigeant :</t>
  </si>
  <si>
    <t>Présentation de l'entreprise</t>
  </si>
  <si>
    <t>Etude : Projet de développement</t>
  </si>
  <si>
    <t>Nature de l'activité</t>
  </si>
  <si>
    <t>Dénomination</t>
  </si>
  <si>
    <t>Adresse</t>
  </si>
  <si>
    <t>Date de création</t>
  </si>
  <si>
    <t>N° SIRET</t>
  </si>
  <si>
    <t>Forme juridique</t>
  </si>
  <si>
    <t>Régime d'imposition</t>
  </si>
  <si>
    <t>Dirigeant</t>
  </si>
  <si>
    <t>N° Téléphone</t>
  </si>
  <si>
    <t>E-Mail</t>
  </si>
  <si>
    <t>Effectif (yc dirigeant)</t>
  </si>
  <si>
    <t>1) Si votre activité est saisonnière, complétez le chiffre d'affaires prévisionnel sur les 12 premiers mois :</t>
  </si>
  <si>
    <t>Année 1</t>
  </si>
  <si>
    <t>2) Estimez votre chiffre d'affaires pour les années à venir :</t>
  </si>
  <si>
    <t>12 mois</t>
  </si>
  <si>
    <t>CA HT</t>
  </si>
  <si>
    <t>2) Quel est votre chiffre d'affaires sur les 3 dernières années ?</t>
  </si>
  <si>
    <t>Répondez aux questions dans la partie grisée. Si vous n'êtes pas concerné(e), laissez vide (ne pas noter de 0).</t>
  </si>
  <si>
    <t xml:space="preserve">1) Date de démarrage du projet ? Il s'agit de la date à partir de laquelle vous commencez à financer le projet. </t>
  </si>
  <si>
    <t>2) Votre projet a-t-il une durée de vie limitée ? (Exemple : contrat d'exploitation de 5 ans, soit 60 mois)</t>
  </si>
  <si>
    <t>Investissement</t>
  </si>
  <si>
    <t>Véhicule</t>
  </si>
  <si>
    <t>Matériel</t>
  </si>
  <si>
    <t>Publicité</t>
  </si>
  <si>
    <t>TOTAL</t>
  </si>
  <si>
    <t>Montant</t>
  </si>
  <si>
    <t>Début du projet en Année 1</t>
  </si>
  <si>
    <t>4) Si certains de ces investissements peuvent être pris en crédit-bail, renseignez les conditions :</t>
  </si>
  <si>
    <t>Maximum 2 Crédits-bails.</t>
  </si>
  <si>
    <t>Date Début Crédit-bail</t>
  </si>
  <si>
    <t>Montant 1ère redevance*</t>
  </si>
  <si>
    <t>Montant redevance normale</t>
  </si>
  <si>
    <t>Dépôt de garantie</t>
  </si>
  <si>
    <t>Montant Option d'achat</t>
  </si>
  <si>
    <t>*dont frais de dossier</t>
  </si>
  <si>
    <r>
      <t xml:space="preserve">Durée Crédit-Bail </t>
    </r>
    <r>
      <rPr>
        <b/>
        <i/>
        <u/>
        <sz val="10"/>
        <color theme="6"/>
        <rFont val="Calibri"/>
        <family val="2"/>
        <scheme val="minor"/>
      </rPr>
      <t>(MOIS)</t>
    </r>
  </si>
  <si>
    <t>Questionnaire - Charges</t>
  </si>
  <si>
    <t>Charges variables</t>
  </si>
  <si>
    <t>ACHATS CONSOMMES</t>
  </si>
  <si>
    <t>Marchandises, mat. premières</t>
  </si>
  <si>
    <t>Emballage</t>
  </si>
  <si>
    <t>Carburant</t>
  </si>
  <si>
    <t>Autres :</t>
  </si>
  <si>
    <t>Charges fixes</t>
  </si>
  <si>
    <t>AUTRES ACHATS/CH. EXTERNES</t>
  </si>
  <si>
    <t>Autres achats</t>
  </si>
  <si>
    <t>Fourn. Conso. : Elec/Gaz/Eau</t>
  </si>
  <si>
    <t>Petit outillage</t>
  </si>
  <si>
    <t>Produits d'entretien</t>
  </si>
  <si>
    <t>Vêtements de travail</t>
  </si>
  <si>
    <t>Divers :</t>
  </si>
  <si>
    <t>Services extérieurs</t>
  </si>
  <si>
    <t>Sous-traitance</t>
  </si>
  <si>
    <t>Crédit-bail</t>
  </si>
  <si>
    <t xml:space="preserve">Ne pas noter ici les montants des redevances, inscrits ailleurs </t>
  </si>
  <si>
    <t>Loyer et charges locatives</t>
  </si>
  <si>
    <t>Entretien et réparations</t>
  </si>
  <si>
    <t>Assurance (RCP, véhicule, local)</t>
  </si>
  <si>
    <t xml:space="preserve">Divers : </t>
  </si>
  <si>
    <t>Autres services extérieurs</t>
  </si>
  <si>
    <t>Personnel intérimaire</t>
  </si>
  <si>
    <t>Honoraires (Expert compt.,Juriste)</t>
  </si>
  <si>
    <t>Frais de transport</t>
  </si>
  <si>
    <t>Frais postaux et télécom.</t>
  </si>
  <si>
    <t>Services bancaires</t>
  </si>
  <si>
    <t>IMPOTS ET TAXES</t>
  </si>
  <si>
    <t>CET</t>
  </si>
  <si>
    <t>Taxes diverses</t>
  </si>
  <si>
    <t>CHARGES DE PERSONNEL</t>
  </si>
  <si>
    <t>Salaire net</t>
  </si>
  <si>
    <t>Charges sociales salarié</t>
  </si>
  <si>
    <t>Rémunération du dirigeant</t>
  </si>
  <si>
    <t>Charges sociales dirigeant</t>
  </si>
  <si>
    <t xml:space="preserve"> (Format : mai-20, mois-année)</t>
  </si>
  <si>
    <t>oui</t>
  </si>
  <si>
    <t>non</t>
  </si>
  <si>
    <t>Tous les trimestres</t>
  </si>
  <si>
    <t>Fournitures bureau et diverses</t>
  </si>
  <si>
    <r>
      <t xml:space="preserve">La mise en place du projet va entraîner des </t>
    </r>
    <r>
      <rPr>
        <b/>
        <i/>
        <u/>
        <sz val="9"/>
        <color theme="6"/>
        <rFont val="Calibri"/>
        <family val="2"/>
        <scheme val="minor"/>
      </rPr>
      <t>charges supplémentaires</t>
    </r>
    <r>
      <rPr>
        <sz val="9"/>
        <color theme="1"/>
        <rFont val="Calibri"/>
        <family val="2"/>
        <scheme val="minor"/>
      </rPr>
      <t xml:space="preserve"> (inscrire un montant positif) ou fait réaliser des économies (inscrire un montant négatif). A vous de les évaluer pour une</t>
    </r>
    <r>
      <rPr>
        <b/>
        <u/>
        <sz val="9"/>
        <color theme="1"/>
        <rFont val="Calibri"/>
        <family val="2"/>
        <scheme val="minor"/>
      </rPr>
      <t xml:space="preserve"> année complète (12 mois)</t>
    </r>
    <r>
      <rPr>
        <sz val="9"/>
        <color theme="1"/>
        <rFont val="Calibri"/>
        <family val="2"/>
        <scheme val="minor"/>
      </rPr>
      <t xml:space="preserve">, sauf éventuellement pour la dernière (ex : projet sur 58 mois = 4 années complètes + 5ème année de 10 mois). </t>
    </r>
    <r>
      <rPr>
        <b/>
        <i/>
        <u/>
        <sz val="9"/>
        <color theme="1"/>
        <rFont val="Calibri"/>
        <family val="2"/>
        <scheme val="minor"/>
      </rPr>
      <t>Remplir les cellules grisées si nécessaire.</t>
    </r>
  </si>
  <si>
    <t>Courant Année 1</t>
  </si>
  <si>
    <t>Année 2</t>
  </si>
  <si>
    <t>Année 3</t>
  </si>
  <si>
    <t>Année 4</t>
  </si>
  <si>
    <t>Année 5</t>
  </si>
  <si>
    <t>Année 6</t>
  </si>
  <si>
    <t>Année 7</t>
  </si>
  <si>
    <t>Taux actuel annuel du marché :</t>
  </si>
  <si>
    <t>Durée maximum d'emprunt autorisé par le marché :</t>
  </si>
  <si>
    <t>mois</t>
  </si>
  <si>
    <t>Peut être basée par rapport aux durées d'amortissement maximales des biens</t>
  </si>
  <si>
    <t>Taux inflation :</t>
  </si>
  <si>
    <t>Taux d'actualisation annuel :</t>
  </si>
  <si>
    <t>Taux d'actualisation mensuel :</t>
  </si>
  <si>
    <t>En rouge les paramètres pouvant être modifiés.</t>
  </si>
  <si>
    <t>pour les prêts professionnels</t>
  </si>
  <si>
    <t>Estimation du CA prévisionnel et des besoins de l'activité</t>
  </si>
  <si>
    <t>I. Estimation du chiffre d'affaires</t>
  </si>
  <si>
    <t>II. Répartition du chiffre d'affaires</t>
  </si>
  <si>
    <t>III. Evaluation du Besoin en Fonds de Roulement au démarrage du projet</t>
  </si>
  <si>
    <t>Saisonnalité</t>
  </si>
  <si>
    <t>Graphique Répartition du chiffre d'affaires sur l'année</t>
  </si>
  <si>
    <t>Sans saisonnalité</t>
  </si>
  <si>
    <t>CA mensuel retenu</t>
  </si>
  <si>
    <t>Questionnaire -                                   Investissement et Financement</t>
  </si>
  <si>
    <t>vous ferez un ou plusieurs apports personnels :</t>
  </si>
  <si>
    <t>vous pourrez bénéficier de subventions :</t>
  </si>
  <si>
    <t>Souhaitez-vous au cours du projet le remboursement de votre apport personnel :</t>
  </si>
  <si>
    <t>VOUS N'AVEZ PAS ENCORE DETERMINE VOTRE PLAN DE FINANCEMENT</t>
  </si>
  <si>
    <t>euros</t>
  </si>
  <si>
    <t>Questions facultatives : Si vous ne savez pas, ne répondez pas.</t>
  </si>
  <si>
    <t>Quel est le taux annuel que la banque vous propose ?</t>
  </si>
  <si>
    <t>Quelle est la durée maximale que la banque vous propose ?</t>
  </si>
  <si>
    <t>MOIS</t>
  </si>
  <si>
    <t>VOUS AVEZ DETERMINE VOTRE PLAN DE FINANCEMENT</t>
  </si>
  <si>
    <t>Après avoir lu les conclusions de cette analyse concernant vos options de financement et rencontrer des banques, vous pouvez maintenant déterminer votre plan de financement.</t>
  </si>
  <si>
    <t>Taux annuel</t>
  </si>
  <si>
    <t>Emprunt 1</t>
  </si>
  <si>
    <t>Emprunt 2</t>
  </si>
  <si>
    <t>Emprunt 3</t>
  </si>
  <si>
    <t>Besoins au démarrage</t>
  </si>
  <si>
    <t>Ressources au démarrage</t>
  </si>
  <si>
    <t>Trésorerie</t>
  </si>
  <si>
    <t>Subvention</t>
  </si>
  <si>
    <t>Prêt</t>
  </si>
  <si>
    <t>Total</t>
  </si>
  <si>
    <t>Taux annuel retenu :</t>
  </si>
  <si>
    <t>Taux mensuel par méthode actuarielle :</t>
  </si>
  <si>
    <t>Durée retenue :</t>
  </si>
  <si>
    <t>Durée maximale d'emprunt autorisé par le marché</t>
  </si>
  <si>
    <t>Durée du projet qui est limitée</t>
  </si>
  <si>
    <t>Durée maximale proposée par la banque</t>
  </si>
  <si>
    <t>Vous n'avez pas déterminé votre plan de financement ou vous souhaitez étudier les options de financement qui s'offrent à vous car vous pouvez mobiliser du crédit-bail.</t>
  </si>
  <si>
    <t>Pour concrétiser votre projet, vous avez besoin de réaliser ces investissements :</t>
  </si>
  <si>
    <t>Dont certains peuvent être pris en crédit-bail à ces conditions :</t>
  </si>
  <si>
    <t>Date Début Crédit-Bail</t>
  </si>
  <si>
    <t>Montant 1ère redevance</t>
  </si>
  <si>
    <t>Montant redev normale</t>
  </si>
  <si>
    <t xml:space="preserve">Hypothèses </t>
  </si>
  <si>
    <t>Redevance Crédi-Bail (€/mois)</t>
  </si>
  <si>
    <t>Financement par emprunt (€)</t>
  </si>
  <si>
    <t>Mensualité sur durée max*</t>
  </si>
  <si>
    <t>Durée optimale**</t>
  </si>
  <si>
    <t>Mensualité maximale**</t>
  </si>
  <si>
    <t>Capacité de remboursement</t>
  </si>
  <si>
    <t>Nom Crédit-bail :</t>
  </si>
  <si>
    <t>Sans Crédit-Bail</t>
  </si>
  <si>
    <t>Inv + BFR</t>
  </si>
  <si>
    <t>Nom des investissements</t>
  </si>
  <si>
    <t>Apports +</t>
  </si>
  <si>
    <t>Subv</t>
  </si>
  <si>
    <t>retenu</t>
  </si>
  <si>
    <t>Reste à fin</t>
  </si>
  <si>
    <t>par emprunt</t>
  </si>
  <si>
    <t>Mensualité</t>
  </si>
  <si>
    <t>calculée</t>
  </si>
  <si>
    <t>Optimum</t>
  </si>
  <si>
    <t>Durée Mois</t>
  </si>
  <si>
    <t>Autonomie</t>
  </si>
  <si>
    <t>Financière</t>
  </si>
  <si>
    <t>Capacité</t>
  </si>
  <si>
    <t>Rembours.</t>
  </si>
  <si>
    <t>Rentabilité du projet :</t>
  </si>
  <si>
    <t>CA HT prév</t>
  </si>
  <si>
    <t>Cvariables</t>
  </si>
  <si>
    <t>MSCV</t>
  </si>
  <si>
    <t>Cfixes</t>
  </si>
  <si>
    <t>DADP Invest</t>
  </si>
  <si>
    <t>EBE = CAF*</t>
  </si>
  <si>
    <t>* car pas d'IS, vu que l'on est à l'IR</t>
  </si>
  <si>
    <t>Années où la CAF &gt; 0 :</t>
  </si>
  <si>
    <t>Coefficient de structure</t>
  </si>
  <si>
    <t>TE</t>
  </si>
  <si>
    <t>Besoin</t>
  </si>
  <si>
    <t>Dégagement</t>
  </si>
  <si>
    <t>Stock Marchandise/MP</t>
  </si>
  <si>
    <t>Clients</t>
  </si>
  <si>
    <t>Fournisseurs</t>
  </si>
  <si>
    <t>Salaires *</t>
  </si>
  <si>
    <t>Cotisations sociales **</t>
  </si>
  <si>
    <t>TVA déductible ***</t>
  </si>
  <si>
    <t>TVA collectée ***</t>
  </si>
  <si>
    <t>Questionnaire - Détermination des charges prévisionnels</t>
  </si>
  <si>
    <t>Questionnaire - Détermination du chiffre d'affaires prévisionnel et du BFR</t>
  </si>
  <si>
    <r>
      <t xml:space="preserve">3) Pensez-vous que la mise en place de votre projet va modifier le temps d'écoulement de votre stock de matières premières et/ou marchandises ? </t>
    </r>
    <r>
      <rPr>
        <i/>
        <u/>
        <sz val="10"/>
        <color theme="1"/>
        <rFont val="Calibri"/>
        <family val="2"/>
        <scheme val="minor"/>
      </rPr>
      <t>Activez le menu déroulant.</t>
    </r>
  </si>
  <si>
    <r>
      <t xml:space="preserve">4) Pensez-vous que la clientèle supplémentaire que vous allez capter par la mise en place de votre projet sera identique (en nature et en proportion) à celle que vous aviez avant ? </t>
    </r>
    <r>
      <rPr>
        <i/>
        <u/>
        <sz val="10"/>
        <color theme="1"/>
        <rFont val="Calibri"/>
        <family val="2"/>
        <scheme val="minor"/>
      </rPr>
      <t>Activez le menu déroulant.</t>
    </r>
  </si>
  <si>
    <r>
      <t xml:space="preserve">5) Pensez-vous que la mise en place du nouveau projet vous fera traiter avec les mêmes fournisseurs et aux mêmes conditions ? </t>
    </r>
    <r>
      <rPr>
        <i/>
        <u/>
        <sz val="10"/>
        <color theme="1"/>
        <rFont val="Calibri"/>
        <family val="2"/>
        <scheme val="minor"/>
      </rPr>
      <t>Activez le menu déroulant.</t>
    </r>
  </si>
  <si>
    <t>Je ne sais pas</t>
  </si>
  <si>
    <t>* On fait l'hypothèse que les salaires et rémunération dirigeant sont payés en fin de mois de la période d'emploi</t>
  </si>
  <si>
    <t>** Les cotisations sociales doivent être payées au plus tard le 5 du mois suivant la période d'emploi pour les employeurs de moins de 50 salariés</t>
  </si>
  <si>
    <t xml:space="preserve">*** Date de paiement : 16, 19 ou 21 du mois suivant ou 1er mois du trimestre civil suivant </t>
  </si>
  <si>
    <t>∆° BFRE</t>
  </si>
  <si>
    <t>EBE</t>
  </si>
  <si>
    <t>Récupération du BFRE :</t>
  </si>
  <si>
    <t>Année où ETE &gt; 0 :</t>
  </si>
  <si>
    <t>Année où ETE &lt; 0 :</t>
  </si>
  <si>
    <t>Année où BFRE &gt; 0 :</t>
  </si>
  <si>
    <t>Année où BFRE &lt; 0 :</t>
  </si>
  <si>
    <t>BFRE</t>
  </si>
  <si>
    <t>jrs de CAHT</t>
  </si>
  <si>
    <t>CAHT annuel</t>
  </si>
  <si>
    <t>BFRE en €</t>
  </si>
  <si>
    <t xml:space="preserve">ETE </t>
  </si>
  <si>
    <t>Année 0</t>
  </si>
  <si>
    <t>Etude de la création de valeur du projet :</t>
  </si>
  <si>
    <t>Calcul du BFRE normatif :</t>
  </si>
  <si>
    <t>Nb de jours de BFR retenus :</t>
  </si>
  <si>
    <t>Début An1</t>
  </si>
  <si>
    <t>Fin An1</t>
  </si>
  <si>
    <t>Fin An2</t>
  </si>
  <si>
    <t>Fin An3</t>
  </si>
  <si>
    <t>Fin An4</t>
  </si>
  <si>
    <t>Fin An5</t>
  </si>
  <si>
    <t>Fin An6</t>
  </si>
  <si>
    <t>Fin An7</t>
  </si>
  <si>
    <t>Cession Immo</t>
  </si>
  <si>
    <t>Récup BFRE</t>
  </si>
  <si>
    <t>Invest</t>
  </si>
  <si>
    <t>FTE</t>
  </si>
  <si>
    <t>FTE actualisé</t>
  </si>
  <si>
    <t>FTE act cumulé</t>
  </si>
  <si>
    <t>jours</t>
  </si>
  <si>
    <t>ans</t>
  </si>
  <si>
    <t xml:space="preserve">mois </t>
  </si>
  <si>
    <t>Ressources :</t>
  </si>
  <si>
    <t>Emprunts</t>
  </si>
  <si>
    <t>Apports</t>
  </si>
  <si>
    <t>TOTAL (1)</t>
  </si>
  <si>
    <t>Besoins :</t>
  </si>
  <si>
    <t>Investissements</t>
  </si>
  <si>
    <t>Dépôt garantie</t>
  </si>
  <si>
    <t>Remb. Emprunt</t>
  </si>
  <si>
    <t>Remb. Apports</t>
  </si>
  <si>
    <t>TOTAL (2)</t>
  </si>
  <si>
    <t>(1) - (2)</t>
  </si>
  <si>
    <t>Tréso de début</t>
  </si>
  <si>
    <t>Tréso finale</t>
  </si>
  <si>
    <t>Pour l'étude des choix de financement : simplification ne tient pas compte des périodes pour investissement</t>
  </si>
  <si>
    <t>Calcul Emprunt 1</t>
  </si>
  <si>
    <t>DONNEES DE L'EMPRUNT 1</t>
  </si>
  <si>
    <t>Montant :</t>
  </si>
  <si>
    <t>Montant des mensualités :</t>
  </si>
  <si>
    <t>Taux d'intérêt annuel :</t>
  </si>
  <si>
    <t>Taux d'intérêt mensuel :</t>
  </si>
  <si>
    <t>Durée en mois :</t>
  </si>
  <si>
    <t>Coût de l'emprunt :</t>
  </si>
  <si>
    <t>Date du premier paiement :</t>
  </si>
  <si>
    <t>Tableau</t>
  </si>
  <si>
    <t>No.</t>
  </si>
  <si>
    <t xml:space="preserve">Date de </t>
  </si>
  <si>
    <t xml:space="preserve">Montant de </t>
  </si>
  <si>
    <t>Capital</t>
  </si>
  <si>
    <t>paiement</t>
  </si>
  <si>
    <t>départ</t>
  </si>
  <si>
    <t>cumulés</t>
  </si>
  <si>
    <t>Calcul Emprunt 2</t>
  </si>
  <si>
    <t>DONNEES DE L'EMPRUNT 2</t>
  </si>
  <si>
    <t>Calcul Emprunt 3</t>
  </si>
  <si>
    <t>DONNEES DE L'EMPRUNT 3</t>
  </si>
  <si>
    <t>Date début projet :</t>
  </si>
  <si>
    <t>dates références</t>
  </si>
  <si>
    <t>Remb Emprunt</t>
  </si>
  <si>
    <t>décalage</t>
  </si>
  <si>
    <t>FNT</t>
  </si>
  <si>
    <t>FNT actualisés</t>
  </si>
  <si>
    <t>Remboursement en fin de mois</t>
  </si>
  <si>
    <t>VAN :</t>
  </si>
  <si>
    <t>Coût du crédit-bail :</t>
  </si>
  <si>
    <t>Crédit-Bail</t>
  </si>
  <si>
    <t>Date Début</t>
  </si>
  <si>
    <t>Durée mois</t>
  </si>
  <si>
    <t>1er loyer</t>
  </si>
  <si>
    <t>Redevance</t>
  </si>
  <si>
    <t>Dépôt Garantie</t>
  </si>
  <si>
    <t>Option achat</t>
  </si>
  <si>
    <t>Fin CB/projet</t>
  </si>
  <si>
    <t>Option Achat</t>
  </si>
  <si>
    <t>Paiement du loyer en début de mois</t>
  </si>
  <si>
    <t>SR</t>
  </si>
  <si>
    <t>Marge Sécurité</t>
  </si>
  <si>
    <t>Indice Sécurité</t>
  </si>
  <si>
    <t>LO</t>
  </si>
  <si>
    <t>FNT Emprunt act</t>
  </si>
  <si>
    <t>FNT CB sans OA</t>
  </si>
  <si>
    <t>FNT Projet act</t>
  </si>
  <si>
    <t>FNT Total act</t>
  </si>
  <si>
    <t>FNT cumulés</t>
  </si>
  <si>
    <t>Délai de récupération pour Emprunt + Crédit-Bail AVEC option d'achat :</t>
  </si>
  <si>
    <t>FNT CB avec OA</t>
  </si>
  <si>
    <t>Le financement par crédit-bail qu'il soit avec ou sans l'option d'achat réduit la rentabilité du projet.</t>
  </si>
  <si>
    <t>Rappel Taux d'actualisation :</t>
  </si>
  <si>
    <t>VAN avec Option achat :</t>
  </si>
  <si>
    <t>Commentaires P5 :</t>
  </si>
  <si>
    <t>L'activité est soumise à une saisonnalité, d'où cette répartition du chiffre d'affaires :</t>
  </si>
  <si>
    <t>L'activité n'est pas soumise à une saisonnalité : le chiffre d'affaires a été réparti équitablement entre les mois qui composent cette année.</t>
  </si>
  <si>
    <t>Commentaires P6 :</t>
  </si>
  <si>
    <t>Vous n'avez pas d'apport personnel pour financer mon projet.</t>
  </si>
  <si>
    <t>Le projet va vous permettre de vendre d'anciennes immobilisations dont vous n'avez plus besoin et dont</t>
  </si>
  <si>
    <t>l'argent sera réinvesti dans le nouveau projet :</t>
  </si>
  <si>
    <t>Vous ne bénéficiez pas de subvention pour financer votre projet.</t>
  </si>
  <si>
    <r>
      <t xml:space="preserve">Durée Crédit-Bail </t>
    </r>
    <r>
      <rPr>
        <b/>
        <i/>
        <u/>
        <sz val="9"/>
        <color theme="6"/>
        <rFont val="Calibri"/>
        <family val="2"/>
        <scheme val="minor"/>
      </rPr>
      <t>(MOIS)</t>
    </r>
  </si>
  <si>
    <t>Etude de la rentabilité du projet</t>
  </si>
  <si>
    <t>Cette partie met en évidence la rentabilité du projet sans tenir compte des choix de financement du projet qui seront étudiés par la suite et qui viendront améliorer ou déteriorer la rentabilité du projet.</t>
  </si>
  <si>
    <t>I. Etude des éléments de trésorerie</t>
  </si>
  <si>
    <t>II. Etude de la création de valeur par le projet</t>
  </si>
  <si>
    <t>Mois par an</t>
  </si>
  <si>
    <t>Commentaires P7 :</t>
  </si>
  <si>
    <t>Il n'y pas d'effet de ciseaux sur l'ensemble de la période : cas où le BFRE augmente plus vite que l'EBE ce qui conduit à une diminution de la trésorerie.</t>
  </si>
  <si>
    <t>ETE en euros</t>
  </si>
  <si>
    <t>ETE en jours de CA</t>
  </si>
  <si>
    <t>VAN =</t>
  </si>
  <si>
    <t>Indice de profitabilité =</t>
  </si>
  <si>
    <t>Délai de récupération =</t>
  </si>
  <si>
    <t>mois/année</t>
  </si>
  <si>
    <t>Tx MSCV</t>
  </si>
  <si>
    <t>Etude du risque économique :</t>
  </si>
  <si>
    <t>CF + DADP</t>
  </si>
  <si>
    <t>Si placement de l'apport personnel durant la durée du projet au taux du marché :</t>
  </si>
  <si>
    <t>Le capital investi n'est pas récupéré au cours de la durée d'étude du projet.</t>
  </si>
  <si>
    <t>Levier Op</t>
  </si>
  <si>
    <t>Seuil Rent</t>
  </si>
  <si>
    <t>Pas de marge de sécurité car le seuil de rentabilité n'est pas dépassé.</t>
  </si>
  <si>
    <t>Etude du coût du financement</t>
  </si>
  <si>
    <t>SANS option d'achat</t>
  </si>
  <si>
    <t>AVEC option d'achat</t>
  </si>
  <si>
    <t>VAN du projet en l'absence de tout financement</t>
  </si>
  <si>
    <t>VAN du financement par emprunt</t>
  </si>
  <si>
    <t xml:space="preserve">VAN du financement par crédit-bail </t>
  </si>
  <si>
    <t>En conclusion :</t>
  </si>
  <si>
    <t>En termes de rentabilité,</t>
  </si>
  <si>
    <t>En termes de temps (retour sur investissement),</t>
  </si>
  <si>
    <t>En termes de risque,</t>
  </si>
  <si>
    <t>En termes de capacité d'endettement et de dépendance financière vis-à-vis des banques,</t>
  </si>
  <si>
    <t>Le crédit-bail n'obère pas la capacité d'endettement de l'entreprise</t>
  </si>
  <si>
    <t>En termes d'opérationnalité du matériel</t>
  </si>
  <si>
    <t>Le crédit-bail permet de faire face à l'obsolescence et propose bien souvent des contrats de maintenance ou de remplacement</t>
  </si>
  <si>
    <t>Emprunt*</t>
  </si>
  <si>
    <t>* Montant de l'emprunt, frais de dossier inclus</t>
  </si>
  <si>
    <t>Sans Option</t>
  </si>
  <si>
    <t>Indicateurs de risque avec Emprunt + Crédit-Bail SANS option d'achat :</t>
  </si>
  <si>
    <t>Loyer CB</t>
  </si>
  <si>
    <t>Indicateurs de risque avec Emprunt + Crédit-Bail AVEC option d'achat :</t>
  </si>
  <si>
    <t>DADP CB</t>
  </si>
  <si>
    <t>Délai de récupération pour Emprunt + CB sans Option d'Achat :</t>
  </si>
  <si>
    <t>Commentaires P9 :</t>
  </si>
  <si>
    <t>Le financement par crédit-bail sans option d'achat réduit la rentabilité du projet.</t>
  </si>
  <si>
    <t>Le financement par crédit-bail avec option d'achat réduit la rentabilité du projet.</t>
  </si>
  <si>
    <t>VAN sans Option achat :</t>
  </si>
  <si>
    <t>Le financement par crédit-bail qu'il soit avec ou sans l'option d'achat améliore la rentabilité du projet.</t>
  </si>
  <si>
    <t>Le financement du crédit-bail qu'il soit avec ou sans option d'achat offre le même niveau de risque.</t>
  </si>
  <si>
    <t>La solution la moins risquée est le financement par crédit-bail sans option d'achat car son levier opérationnel est le plus bas.</t>
  </si>
  <si>
    <t>La solution la moins risquée est le financement par crédit-bail avec option d'achat car son levier opérationnel est le plus bas.</t>
  </si>
  <si>
    <t>Autonomie financière :</t>
  </si>
  <si>
    <t>Capacité Remboursement :</t>
  </si>
  <si>
    <t>Avec ce plan de financement :</t>
  </si>
  <si>
    <t>Cessions immo</t>
  </si>
  <si>
    <t>Nbre crédit-bail retenu :</t>
  </si>
  <si>
    <t>Nom crédit-bail retenu :</t>
  </si>
  <si>
    <r>
      <t xml:space="preserve">Durée </t>
    </r>
    <r>
      <rPr>
        <b/>
        <sz val="9"/>
        <color theme="6"/>
        <rFont val="Calibri"/>
        <family val="2"/>
        <scheme val="minor"/>
      </rPr>
      <t>(MOIS)</t>
    </r>
  </si>
  <si>
    <t>Décalage début projet/début emprunt</t>
  </si>
  <si>
    <t>Début projet/Fin emprunt</t>
  </si>
  <si>
    <t>Nbre d'acquisition :</t>
  </si>
  <si>
    <t>Nom des acquisitions :</t>
  </si>
  <si>
    <t>Mt retenu</t>
  </si>
  <si>
    <t>Oui pour les 2</t>
  </si>
  <si>
    <r>
      <t xml:space="preserve">Les colonnes Année 2 et suivantes sont à compléter si vos charges évoluent significativement </t>
    </r>
    <r>
      <rPr>
        <b/>
        <u/>
        <sz val="9"/>
        <color theme="1"/>
        <rFont val="Calibri"/>
        <family val="2"/>
        <scheme val="minor"/>
      </rPr>
      <t>par rapport à l'année 0</t>
    </r>
    <r>
      <rPr>
        <sz val="9"/>
        <color theme="1"/>
        <rFont val="Calibri"/>
        <family val="2"/>
        <scheme val="minor"/>
      </rPr>
      <t xml:space="preserve"> (avant la mise en place du projet). </t>
    </r>
    <r>
      <rPr>
        <b/>
        <u/>
        <sz val="9"/>
        <color theme="1"/>
        <rFont val="Calibri"/>
        <family val="2"/>
        <scheme val="minor"/>
      </rPr>
      <t>Il faut les évaluer TOUJOURS par rapport à l'année 0</t>
    </r>
    <r>
      <rPr>
        <sz val="9"/>
        <color theme="1"/>
        <rFont val="Calibri"/>
        <family val="2"/>
        <scheme val="minor"/>
      </rPr>
      <t>. Si elles n'évoluent pas significativement par rapport à l'année 0, laissez les colonnes vierges.</t>
    </r>
  </si>
  <si>
    <t>L'activité n'est pas rentable.</t>
  </si>
  <si>
    <t>Les capitaux propres sont négatifs à causes de pertes antérieures.</t>
  </si>
  <si>
    <t>Les capitaux propres sont inférieurs à la moitié du capital social. La loi impose le respect d’une procédure d’avertissement des tiers et de reconstitution des fonds propres.</t>
  </si>
  <si>
    <t>&gt;=60%</t>
  </si>
  <si>
    <t>&lt;25%</t>
  </si>
  <si>
    <t>25%&lt;X&lt;60%</t>
  </si>
  <si>
    <t>Avec CCA</t>
  </si>
  <si>
    <t>Excédent</t>
  </si>
  <si>
    <t>jours de trésorerie</t>
  </si>
  <si>
    <t>Le Besoin en Fonds de Roulement vient réduire la Trésorerie Nette positive.</t>
  </si>
  <si>
    <t>L'Excédent en Fonds de Roulement vient réduire la Trésorie Nette négative.</t>
  </si>
  <si>
    <t>Le FRNG négatif  vient réduire la Trésorerie Nette positive.</t>
  </si>
  <si>
    <t>Le FRNG positif vient réduire la Trésorie Nette négative.</t>
  </si>
  <si>
    <t>L'Excédent en Fonds de Roulement et le FRNG positif contribuent à la Trésorie Nette positive.</t>
  </si>
  <si>
    <t>Le BFR et le FRNG négatif contribuent à la Trésorie Nette négative.</t>
  </si>
  <si>
    <t>Notice</t>
  </si>
  <si>
    <t xml:space="preserve">Au réel normal, réel simplifié ou franchise en base de TVA </t>
  </si>
  <si>
    <t>et/ou qui souhaite étudier un projet de développement</t>
  </si>
  <si>
    <t>qui souhaite réaliser une analyse financière de leur activité</t>
  </si>
  <si>
    <t>On appelle par projet de développement, tous les investissements qui vont générer des ressources financières supplémentaires (augmentation du chiffre d'affaires ou des marges) pour l'entreprise :</t>
  </si>
  <si>
    <t>Type de ressources supplémentaires</t>
  </si>
  <si>
    <t>Type d'investissement</t>
  </si>
  <si>
    <t>Augmentation du chiffre d'affaires</t>
  </si>
  <si>
    <t>Investissement de capacité ou de croissance</t>
  </si>
  <si>
    <t>Dépenses engagées pour assurer la croissance des capacités de production ou de commercialisation de l'entreprise</t>
  </si>
  <si>
    <t>Investissement de modernisation et de productivité</t>
  </si>
  <si>
    <t xml:space="preserve">Dépenses engagées pour moderniser, améliorer la productivité, économiser les ressources (énergie, matières premières, main d'œuvre) et donc produire à moindre coût </t>
  </si>
  <si>
    <t>Amélioration des marges</t>
  </si>
  <si>
    <t>On exclut donc les investissements de maintien ou de renouvellement qui sont des dépenses engagées pour remplacer du matériel obsolète et qui n'entraînent pas une augmentation du chiffre d'affaires ou une amélioration des marges.</t>
  </si>
  <si>
    <t>Objectifs de l'outil :</t>
  </si>
  <si>
    <t>Avertissements et limites de l'outil :</t>
  </si>
  <si>
    <t>Mode d'emploi de l'outil :</t>
  </si>
  <si>
    <t>Profil des utilisateurs de l'outil :</t>
  </si>
  <si>
    <t>●</t>
  </si>
  <si>
    <t>Les ratios de structure financière, même favorables, ne garantissent pas l'octroi d'un financement bancaire. Celui-ci relève de la libre appréciation de la banque, influencée par des critères autres que les performances financières de l'entreprise, tels que les perspectives de débouchés du projet de développement, la situation financière du chef d'entreprise...</t>
  </si>
  <si>
    <t>Intérêt de l'outil :</t>
  </si>
  <si>
    <t>Les questions ont été posées de façon à ce que le chef d'entreprise n'est pas besoin d'avoir des connaissances approfondies en comptabilité et finance</t>
  </si>
  <si>
    <r>
      <rPr>
        <b/>
        <sz val="11"/>
        <color theme="5"/>
        <rFont val="Calibri"/>
        <family val="2"/>
        <scheme val="minor"/>
      </rPr>
      <t>Calculs automatisés :</t>
    </r>
    <r>
      <rPr>
        <u/>
        <sz val="11"/>
        <color theme="1"/>
        <rFont val="Calibri"/>
        <family val="2"/>
        <scheme val="minor"/>
      </rPr>
      <t xml:space="preserve"> </t>
    </r>
    <r>
      <rPr>
        <sz val="11"/>
        <color theme="1"/>
        <rFont val="Calibri"/>
        <family val="2"/>
        <scheme val="minor"/>
      </rPr>
      <t>le chef d'entreprise n'a pas besoin de connaître les formules des ratios financiers et calculs servant à l'étude du projet de développement</t>
    </r>
  </si>
  <si>
    <r>
      <rPr>
        <b/>
        <sz val="11"/>
        <color theme="5"/>
        <rFont val="Calibri"/>
        <family val="2"/>
        <scheme val="minor"/>
      </rPr>
      <t>Réaliser une étude de l'existant</t>
    </r>
    <r>
      <rPr>
        <sz val="11"/>
        <color theme="1"/>
        <rFont val="Calibri"/>
        <family val="2"/>
        <scheme val="minor"/>
      </rPr>
      <t>, à partir de l'analyse financière de votre entreprise : calcul de ratios et interprétation des chiffres</t>
    </r>
  </si>
  <si>
    <r>
      <rPr>
        <b/>
        <sz val="11"/>
        <color theme="5"/>
        <rFont val="Calibri"/>
        <family val="2"/>
        <scheme val="minor"/>
      </rPr>
      <t>Réaliser une étude du projet de développement :</t>
    </r>
    <r>
      <rPr>
        <sz val="11"/>
        <color theme="5"/>
        <rFont val="Calibri"/>
        <family val="2"/>
        <scheme val="minor"/>
      </rPr>
      <t xml:space="preserve"> </t>
    </r>
    <r>
      <rPr>
        <sz val="11"/>
        <color theme="1"/>
        <rFont val="Calibri"/>
        <family val="2"/>
        <scheme val="minor"/>
      </rPr>
      <t>estimation du chiffre d'affaires et des besoins de financement, étude des options de financement, étude de la rentabilité du projet et du coût du financement</t>
    </r>
  </si>
  <si>
    <r>
      <t>Entreprise individuelle ou société soumises à l'</t>
    </r>
    <r>
      <rPr>
        <b/>
        <sz val="11"/>
        <color theme="5"/>
        <rFont val="Calibri"/>
        <family val="2"/>
        <scheme val="minor"/>
      </rPr>
      <t>impôt sur le revenu</t>
    </r>
  </si>
  <si>
    <t>1)</t>
  </si>
  <si>
    <t>2)</t>
  </si>
  <si>
    <t>Les résultats de l'analyse financière sont consultables et imprimables via l'onglet P3-P4.</t>
  </si>
  <si>
    <t>3)</t>
  </si>
  <si>
    <t>Pour ceux qui souhaitent en plus, étudier un projet de développement, les onglets CACh prévi et Fin sont à compléter.</t>
  </si>
  <si>
    <t>Les résultats de l'estimation du chiffre d'affaires et du besoin au démarrage prévisionnels sont consultables et imprimables via l'onglet P5.</t>
  </si>
  <si>
    <t>Le plan de financement est consultable et imprimable via l'onglet P8.</t>
  </si>
  <si>
    <t>L'étude de la rentabilité du projet est consultable et imprimable via l'onglet P7.</t>
  </si>
  <si>
    <r>
      <rPr>
        <b/>
        <sz val="11"/>
        <color theme="5"/>
        <rFont val="Calibri"/>
        <family val="2"/>
        <scheme val="minor"/>
      </rPr>
      <t>Rendu d'un rapport</t>
    </r>
    <r>
      <rPr>
        <sz val="11"/>
        <color theme="1"/>
        <rFont val="Calibri"/>
        <family val="2"/>
        <scheme val="minor"/>
      </rPr>
      <t xml:space="preserve"> avec interprétation des résultats et commentaires </t>
    </r>
  </si>
  <si>
    <t>Onglet à compléter</t>
  </si>
  <si>
    <t>Onglet du rapport</t>
  </si>
  <si>
    <t>Analyse financière :</t>
  </si>
  <si>
    <t>Page de garde et présentation</t>
  </si>
  <si>
    <t>Présentation</t>
  </si>
  <si>
    <t>P1-P2</t>
  </si>
  <si>
    <r>
      <rPr>
        <sz val="10"/>
        <color theme="1"/>
        <rFont val="Calibri"/>
        <family val="2"/>
      </rPr>
      <t xml:space="preserve">• </t>
    </r>
    <r>
      <rPr>
        <sz val="10"/>
        <color theme="1"/>
        <rFont val="Calibri"/>
        <family val="2"/>
        <scheme val="minor"/>
      </rPr>
      <t>Analyse de la rentabilité</t>
    </r>
  </si>
  <si>
    <r>
      <rPr>
        <sz val="10"/>
        <color theme="1"/>
        <rFont val="Calibri"/>
        <family val="2"/>
      </rPr>
      <t xml:space="preserve">• </t>
    </r>
    <r>
      <rPr>
        <sz val="10"/>
        <color theme="1"/>
        <rFont val="Calibri"/>
        <family val="2"/>
        <scheme val="minor"/>
      </rPr>
      <t>Analyse de la structure financière</t>
    </r>
  </si>
  <si>
    <r>
      <rPr>
        <sz val="10"/>
        <color theme="1"/>
        <rFont val="Calibri"/>
        <family val="2"/>
      </rPr>
      <t xml:space="preserve">• </t>
    </r>
    <r>
      <rPr>
        <sz val="10"/>
        <color theme="1"/>
        <rFont val="Calibri"/>
        <family val="2"/>
        <scheme val="minor"/>
      </rPr>
      <t xml:space="preserve">Analyse des flux de trésorerie </t>
    </r>
  </si>
  <si>
    <r>
      <rPr>
        <sz val="10"/>
        <color theme="1"/>
        <rFont val="Calibri"/>
        <family val="2"/>
      </rPr>
      <t xml:space="preserve">• </t>
    </r>
    <r>
      <rPr>
        <sz val="10"/>
        <color theme="1"/>
        <rFont val="Calibri"/>
        <family val="2"/>
        <scheme val="minor"/>
      </rPr>
      <t xml:space="preserve">Analyse de l'activité </t>
    </r>
  </si>
  <si>
    <t>Afin</t>
  </si>
  <si>
    <t>P3-P4</t>
  </si>
  <si>
    <t>Estimation du chiffre d'affaires et des besoins de l'activité</t>
  </si>
  <si>
    <t>CACh prévi</t>
  </si>
  <si>
    <t>P5</t>
  </si>
  <si>
    <t>Etude des options de financement</t>
  </si>
  <si>
    <t>Fin</t>
  </si>
  <si>
    <t>P6</t>
  </si>
  <si>
    <t>P7</t>
  </si>
  <si>
    <t>P8</t>
  </si>
  <si>
    <t xml:space="preserve">Plan de financement </t>
  </si>
  <si>
    <t>P9</t>
  </si>
  <si>
    <t>Objectifs</t>
  </si>
  <si>
    <t>Complétez l'onglet Présentation, afin de renseignez automatiquement les pages 1 et 2 du rapport.</t>
  </si>
  <si>
    <t>L'étude des options de financement est consultable et imprimable via l'onglet P6.</t>
  </si>
  <si>
    <t>Pour réaliser l'analyse financière de votre entreprise, complétez l'onglet Afin à l'aide de votre dossier de gestion et de prévention économique réalisé par le CEGECOBA ou de votre liasse fiscale.</t>
  </si>
  <si>
    <t>Les onglets Emprunt présentent les tableaux d'amortissement des emprunts. Ils peuvent également être imprimés et ajoutés au rapport.</t>
  </si>
  <si>
    <t>Le taux d’actualisation est choisi par le chef d’entreprise : il correspond au taux de rentabilité minimal exigé. Par exemple, c’est ce qu’il aurait pu percevoir comme intérêts s’il avait placé son argent sur un compte d’épargne.</t>
  </si>
  <si>
    <t>Bâtiments commerciaux</t>
  </si>
  <si>
    <t>Bâtiments industriels</t>
  </si>
  <si>
    <t>Bureaux</t>
  </si>
  <si>
    <t>Entrepôts</t>
  </si>
  <si>
    <t>Maçonnerie</t>
  </si>
  <si>
    <t>Agencement de bureaux</t>
  </si>
  <si>
    <t>Agencement léger</t>
  </si>
  <si>
    <t>Peintures</t>
  </si>
  <si>
    <t>Revêtements sol</t>
  </si>
  <si>
    <t>Mobilier</t>
  </si>
  <si>
    <t>Informatique</t>
  </si>
  <si>
    <t>Logiciel</t>
  </si>
  <si>
    <t>Brevet</t>
  </si>
  <si>
    <t>Type investissement</t>
  </si>
  <si>
    <r>
      <t xml:space="preserve">Durée en </t>
    </r>
    <r>
      <rPr>
        <b/>
        <i/>
        <sz val="10"/>
        <color theme="8"/>
        <rFont val="Calibri"/>
        <family val="2"/>
        <scheme val="minor"/>
      </rPr>
      <t xml:space="preserve">MOIS </t>
    </r>
  </si>
  <si>
    <t>Vous avez la possibilité d'ajouter des types d'investissements et de modifier les durée d'amortissement :</t>
  </si>
  <si>
    <t>Gros Matériel</t>
  </si>
  <si>
    <t>Gros Outillage</t>
  </si>
  <si>
    <t>Petit matériel</t>
  </si>
  <si>
    <t>Durée</t>
  </si>
  <si>
    <t>Invest.</t>
  </si>
  <si>
    <t>Amortiss</t>
  </si>
  <si>
    <t>Date achat</t>
  </si>
  <si>
    <t>décal. Dbt projet/Dbt inv</t>
  </si>
  <si>
    <t>Dbt projet/Fin amort</t>
  </si>
  <si>
    <t>Votre plan de financement est maintenant défini, et il correspond à :</t>
  </si>
  <si>
    <t>Votre emprunt correspond à :</t>
  </si>
  <si>
    <t>Apport + Cession immo</t>
  </si>
  <si>
    <t>L'onglet Paramètres permet de changer certains paramètres.</t>
  </si>
  <si>
    <t>Date Début Rembmt</t>
  </si>
  <si>
    <t>L'analyse financière pourrait être plus pertinente en la mettant en relation avec les données statistiques du secteur d'activité de l'entreprise</t>
  </si>
  <si>
    <t>2 Crédits-bails</t>
  </si>
  <si>
    <t>Activez le menu déroulant</t>
  </si>
  <si>
    <t>Maximum 5 investissements. Cf Onglet Paramètres pour vérifier les durées d'amortissement</t>
  </si>
  <si>
    <t>3) Quels sont les investissements que vous avez à réaliser pour mettre en place votre projet ? Précisez le type d'investissement, ainsi que son montant et sa date d'acquisition.</t>
  </si>
  <si>
    <t>Date d'acquisition</t>
  </si>
  <si>
    <t xml:space="preserve">La partie Etude du projet de développement ne peut pas être utilisée par les structures soumises à l'impôt sur les sociétés car l'outil n'intégre pas les économies d'impôt sur les sociétés </t>
  </si>
  <si>
    <t>Plan de financement du projet</t>
  </si>
  <si>
    <t>Réponses obligatoires</t>
  </si>
  <si>
    <t>Ne pas noter les remboursements d'emprunt, inscrits ailleurs</t>
  </si>
  <si>
    <r>
      <t xml:space="preserve">1) Pour le projet, </t>
    </r>
    <r>
      <rPr>
        <i/>
        <u/>
        <sz val="10"/>
        <color theme="1"/>
        <rFont val="Calibri"/>
        <family val="2"/>
        <scheme val="minor"/>
      </rPr>
      <t>(Activez le menu déroulant)</t>
    </r>
  </si>
  <si>
    <t>2) Si vous faîtes appel à de l'emprunt pour financer votre projet, quel est le montant de mensualité que vous ne voulez pas ou que vous ne pouvez pas dépasser ?</t>
  </si>
  <si>
    <t>3) Complétez le tableau ci-dessous concernant les emprunts que vous allez réaliser :</t>
  </si>
  <si>
    <t>4) Faîtes-vous appel à du crébit-bail ?</t>
  </si>
  <si>
    <t>5) Quel est la trésorerie de démarrage que vous avez retenue ?</t>
  </si>
  <si>
    <t>1) VAN Ajustée</t>
  </si>
  <si>
    <t>Etude du coût du financement du projet</t>
  </si>
  <si>
    <t>Investissement - Options de financement du projet</t>
  </si>
  <si>
    <t>2) Indice de Profitabilité</t>
  </si>
  <si>
    <t>3) Délai de récupération</t>
  </si>
  <si>
    <t>4) Seuil de Rentabilité</t>
  </si>
  <si>
    <t>4)</t>
  </si>
  <si>
    <t>5)</t>
  </si>
  <si>
    <t>5) Indice de Sécurité</t>
  </si>
  <si>
    <t>5) Levier Opérationnel</t>
  </si>
  <si>
    <t>Une entreprise dont l'activité est rentable (elle génère du bénéfice) peut se voir refuser un emprunt bancaire à cause de mauvais ratios d'endettement, bien qu'elle puisse payer ses mensualités. Mobiliser le crédit-bail sur certains investissements est une solution pour éviter de déteriorer la capacité d'endettement de l'entreprise.</t>
  </si>
  <si>
    <t>Pré-requis :</t>
  </si>
  <si>
    <t>Se munir de son dossier de gestion et de prévention des risques du CEGECOBA ou de sa liasse fiscale</t>
  </si>
  <si>
    <t>Evaluer le chiffre d'affaires prévisonnel du projet</t>
  </si>
  <si>
    <t>Evaluer les charges prévisionnelles du projet</t>
  </si>
  <si>
    <t>Lister les investissements nécessaires, les évaluer et se renseigner sur les possibilités de crédit-bail</t>
  </si>
  <si>
    <t>Evolution du CA HT</t>
  </si>
  <si>
    <t>Taux de croissance avec projet :</t>
  </si>
  <si>
    <t>Taux de croissance sans projet :</t>
  </si>
  <si>
    <t>L'étude du coût du financement est consultable et imprimable via l'onglet P9. Elle est basée sur les éléments apportés dans l'onglet Fin - VOUS AVEZ DETERMINE VOTRE PLAN DE FINANCEMENT. Si vous souhaitez comparer différents plans de financement, renseignez de nouveau l'onglet Fin avec les nouvelles hypothèses et réimprimer les onglets P8 et P9.</t>
  </si>
  <si>
    <t>Si plusieurs hypothèses de financement sont à étudier, actualiser l'onglet Fin - VOUS AVEZ DETERMINE VOTRE PLAN DE FINANCEMENT.                                        P8 et P9 se trouvent alors modifiés.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</si>
</sst>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_-;\-* #,##0.00\ _€_-;_-* &quot;-&quot;??\ _€_-;_-@_-"/>
    <numFmt numFmtId="164" formatCode="0.0000%"/>
    <numFmt numFmtId="165" formatCode="0.0%"/>
    <numFmt numFmtId="166" formatCode="_-* #,##0\ _€_-;\-* #,##0\ _€_-;_-* &quot;-&quot;??\ _€_-;_-@_-"/>
    <numFmt numFmtId="167" formatCode="&quot;$&quot;#,##0.00;\-&quot;$&quot;#,##0.00"/>
    <numFmt numFmtId="168" formatCode="_-* #,##0.00\ &quot;F&quot;_-;\-* #,##0.00\ &quot;F&quot;_-;_-* &quot;-&quot;??\ &quot;F&quot;_-;_-@_-"/>
    <numFmt numFmtId="169" formatCode="0;0"/>
    <numFmt numFmtId="170" formatCode="0.0"/>
    <numFmt numFmtId="171" formatCode="[$-40C]mmm\-yy;@"/>
    <numFmt numFmtId="172" formatCode="dd/mm/yy;@"/>
    <numFmt numFmtId="173" formatCode="0.0000"/>
    <numFmt numFmtId="174" formatCode="0.000"/>
    <numFmt numFmtId="175" formatCode="#,##0.0000"/>
  </numFmts>
  <fonts count="76">
    <font>
      <sz val="11"/>
      <color theme="1"/>
      <name val="Calibri"/>
      <family val="2"/>
      <scheme val="minor"/>
    </font>
    <font>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i/>
      <sz val="16"/>
      <color theme="1"/>
      <name val="Calibri"/>
      <family val="2"/>
      <scheme val="minor"/>
    </font>
    <font>
      <sz val="11"/>
      <color theme="6"/>
      <name val="Calibri"/>
      <family val="2"/>
      <scheme val="minor"/>
    </font>
    <font>
      <sz val="10"/>
      <name val="Arial"/>
      <family val="2"/>
    </font>
    <font>
      <sz val="11"/>
      <color rgb="FFFF0000"/>
      <name val="Calibri"/>
      <family val="2"/>
      <scheme val="minor"/>
    </font>
    <font>
      <b/>
      <sz val="11"/>
      <color theme="1"/>
      <name val="Calibri"/>
      <family val="2"/>
      <scheme val="minor"/>
    </font>
    <font>
      <sz val="9"/>
      <color theme="1"/>
      <name val="Calibri"/>
      <family val="2"/>
      <scheme val="minor"/>
    </font>
    <font>
      <sz val="10"/>
      <color theme="6"/>
      <name val="Calibri"/>
      <family val="2"/>
      <scheme val="minor"/>
    </font>
    <font>
      <sz val="10"/>
      <color rgb="FFFF0000"/>
      <name val="Calibri"/>
      <family val="2"/>
      <scheme val="minor"/>
    </font>
    <font>
      <b/>
      <sz val="11"/>
      <name val="Calibri"/>
      <family val="2"/>
      <scheme val="minor"/>
    </font>
    <font>
      <b/>
      <i/>
      <u/>
      <sz val="10"/>
      <color theme="1"/>
      <name val="Calibri"/>
      <family val="2"/>
      <scheme val="minor"/>
    </font>
    <font>
      <b/>
      <u/>
      <sz val="11"/>
      <color theme="9"/>
      <name val="Calibri"/>
      <family val="2"/>
      <scheme val="minor"/>
    </font>
    <font>
      <b/>
      <sz val="10"/>
      <name val="Calibri"/>
      <family val="2"/>
      <scheme val="minor"/>
    </font>
    <font>
      <sz val="10"/>
      <name val="Calibri"/>
      <family val="2"/>
      <scheme val="minor"/>
    </font>
    <font>
      <i/>
      <u/>
      <sz val="10"/>
      <color theme="1"/>
      <name val="Calibri"/>
      <family val="2"/>
      <scheme val="minor"/>
    </font>
    <font>
      <b/>
      <sz val="10"/>
      <color theme="6"/>
      <name val="Calibri"/>
      <family val="2"/>
      <scheme val="minor"/>
    </font>
    <font>
      <b/>
      <sz val="10"/>
      <color rgb="FFC00000"/>
      <name val="Calibri"/>
      <family val="2"/>
      <scheme val="minor"/>
    </font>
    <font>
      <u/>
      <sz val="11"/>
      <color theme="10"/>
      <name val="Calibri"/>
      <family val="2"/>
      <scheme val="minor"/>
    </font>
    <font>
      <b/>
      <i/>
      <u/>
      <sz val="11"/>
      <color theme="1"/>
      <name val="Calibri"/>
      <family val="2"/>
      <scheme val="minor"/>
    </font>
    <font>
      <i/>
      <sz val="11"/>
      <color theme="1"/>
      <name val="Calibri"/>
      <family val="2"/>
      <scheme val="minor"/>
    </font>
    <font>
      <i/>
      <u/>
      <sz val="11"/>
      <color theme="1"/>
      <name val="Calibri"/>
      <family val="2"/>
      <scheme val="minor"/>
    </font>
    <font>
      <b/>
      <sz val="20"/>
      <color theme="0"/>
      <name val="Calibri"/>
      <family val="2"/>
      <scheme val="minor"/>
    </font>
    <font>
      <b/>
      <sz val="16"/>
      <color theme="9"/>
      <name val="Calibri"/>
      <family val="2"/>
      <scheme val="minor"/>
    </font>
    <font>
      <sz val="12"/>
      <color theme="1"/>
      <name val="Calibri"/>
      <family val="2"/>
      <scheme val="minor"/>
    </font>
    <font>
      <b/>
      <sz val="16"/>
      <color theme="1"/>
      <name val="Calibri"/>
      <family val="2"/>
      <scheme val="minor"/>
    </font>
    <font>
      <b/>
      <i/>
      <u/>
      <sz val="9"/>
      <color theme="1"/>
      <name val="Calibri"/>
      <family val="2"/>
      <scheme val="minor"/>
    </font>
    <font>
      <b/>
      <sz val="9"/>
      <color theme="1"/>
      <name val="Calibri"/>
      <family val="2"/>
      <scheme val="minor"/>
    </font>
    <font>
      <b/>
      <sz val="10"/>
      <color theme="1"/>
      <name val="Calibri"/>
      <family val="2"/>
      <scheme val="minor"/>
    </font>
    <font>
      <b/>
      <i/>
      <sz val="10"/>
      <color theme="6"/>
      <name val="Calibri"/>
      <family val="2"/>
      <scheme val="minor"/>
    </font>
    <font>
      <i/>
      <sz val="10"/>
      <color theme="1"/>
      <name val="Calibri"/>
      <family val="2"/>
      <scheme val="minor"/>
    </font>
    <font>
      <sz val="10"/>
      <color theme="0"/>
      <name val="Calibri"/>
      <family val="2"/>
      <scheme val="minor"/>
    </font>
    <font>
      <b/>
      <i/>
      <u/>
      <sz val="10"/>
      <color theme="6"/>
      <name val="Calibri"/>
      <family val="2"/>
      <scheme val="minor"/>
    </font>
    <font>
      <b/>
      <u/>
      <sz val="10"/>
      <color theme="1"/>
      <name val="Calibri"/>
      <family val="2"/>
      <scheme val="minor"/>
    </font>
    <font>
      <b/>
      <sz val="10"/>
      <color theme="0"/>
      <name val="Calibri"/>
      <family val="2"/>
      <scheme val="minor"/>
    </font>
    <font>
      <sz val="10"/>
      <name val="MS Sans Serif"/>
      <family val="2"/>
    </font>
    <font>
      <b/>
      <sz val="9"/>
      <color theme="0"/>
      <name val="Calibri"/>
      <family val="2"/>
      <scheme val="minor"/>
    </font>
    <font>
      <b/>
      <sz val="9"/>
      <name val="Calibri"/>
      <family val="2"/>
      <scheme val="minor"/>
    </font>
    <font>
      <sz val="9"/>
      <color rgb="FFFF0000"/>
      <name val="Calibri"/>
      <family val="2"/>
      <scheme val="minor"/>
    </font>
    <font>
      <b/>
      <i/>
      <u/>
      <sz val="9"/>
      <color theme="6"/>
      <name val="Calibri"/>
      <family val="2"/>
      <scheme val="minor"/>
    </font>
    <font>
      <b/>
      <u/>
      <sz val="9"/>
      <color theme="1"/>
      <name val="Calibri"/>
      <family val="2"/>
      <scheme val="minor"/>
    </font>
    <font>
      <sz val="11"/>
      <name val="Calibri"/>
      <family val="2"/>
      <scheme val="minor"/>
    </font>
    <font>
      <b/>
      <i/>
      <sz val="10"/>
      <color theme="1"/>
      <name val="Calibri"/>
      <family val="2"/>
      <scheme val="minor"/>
    </font>
    <font>
      <sz val="10"/>
      <color rgb="FF333333"/>
      <name val="Arial"/>
      <family val="2"/>
    </font>
    <font>
      <i/>
      <sz val="10"/>
      <name val="Calibri"/>
      <family val="2"/>
      <scheme val="minor"/>
    </font>
    <font>
      <sz val="10"/>
      <color rgb="FF00B0F0"/>
      <name val="Calibri"/>
      <family val="2"/>
      <scheme val="minor"/>
    </font>
    <font>
      <u/>
      <sz val="10"/>
      <color theme="1"/>
      <name val="Calibri"/>
      <family val="2"/>
      <scheme val="minor"/>
    </font>
    <font>
      <sz val="11"/>
      <color theme="1"/>
      <name val="Calibri"/>
      <family val="2"/>
    </font>
    <font>
      <sz val="10"/>
      <color theme="1"/>
      <name val="Calibri"/>
      <family val="2"/>
    </font>
    <font>
      <sz val="9"/>
      <name val="Arial"/>
      <family val="2"/>
    </font>
    <font>
      <b/>
      <sz val="9"/>
      <name val="Arial"/>
      <family val="2"/>
    </font>
    <font>
      <b/>
      <sz val="10"/>
      <name val="Geneva"/>
    </font>
    <font>
      <sz val="10"/>
      <name val="Geneva"/>
    </font>
    <font>
      <b/>
      <sz val="14"/>
      <color indexed="9"/>
      <name val="Arial"/>
      <family val="2"/>
    </font>
    <font>
      <u/>
      <sz val="10"/>
      <color theme="6"/>
      <name val="Calibri"/>
      <family val="2"/>
      <scheme val="minor"/>
    </font>
    <font>
      <b/>
      <u/>
      <sz val="10"/>
      <color theme="9"/>
      <name val="Calibri"/>
      <family val="2"/>
      <scheme val="minor"/>
    </font>
    <font>
      <sz val="8"/>
      <color theme="1"/>
      <name val="Calibri"/>
      <family val="2"/>
      <scheme val="minor"/>
    </font>
    <font>
      <b/>
      <sz val="11"/>
      <color theme="1"/>
      <name val="Calibri"/>
      <family val="2"/>
    </font>
    <font>
      <sz val="10"/>
      <color theme="4"/>
      <name val="Calibri"/>
      <family val="2"/>
      <scheme val="minor"/>
    </font>
    <font>
      <b/>
      <sz val="9"/>
      <color theme="6"/>
      <name val="Calibri"/>
      <family val="2"/>
      <scheme val="minor"/>
    </font>
    <font>
      <sz val="10"/>
      <color theme="5"/>
      <name val="Calibri"/>
      <family val="2"/>
      <scheme val="minor"/>
    </font>
    <font>
      <b/>
      <sz val="10"/>
      <color rgb="FF00B050"/>
      <name val="Calibri"/>
      <family val="2"/>
      <scheme val="minor"/>
    </font>
    <font>
      <b/>
      <sz val="11"/>
      <color theme="0"/>
      <name val="Calibri"/>
      <family val="2"/>
      <scheme val="minor"/>
    </font>
    <font>
      <b/>
      <i/>
      <u/>
      <sz val="12"/>
      <color theme="1"/>
      <name val="Calibri"/>
      <family val="2"/>
      <scheme val="minor"/>
    </font>
    <font>
      <u/>
      <sz val="11"/>
      <color theme="1"/>
      <name val="Calibri"/>
      <family val="2"/>
      <scheme val="minor"/>
    </font>
    <font>
      <i/>
      <sz val="11"/>
      <color theme="9"/>
      <name val="Calibri"/>
      <family val="2"/>
      <scheme val="minor"/>
    </font>
    <font>
      <b/>
      <sz val="11"/>
      <color theme="5"/>
      <name val="Calibri"/>
      <family val="2"/>
      <scheme val="minor"/>
    </font>
    <font>
      <sz val="11"/>
      <color theme="5"/>
      <name val="Calibri"/>
      <family val="2"/>
      <scheme val="minor"/>
    </font>
    <font>
      <i/>
      <sz val="10"/>
      <color theme="9"/>
      <name val="Calibri"/>
      <family val="2"/>
      <scheme val="minor"/>
    </font>
    <font>
      <i/>
      <sz val="10"/>
      <color rgb="FF333333"/>
      <name val="Calibri"/>
      <family val="2"/>
      <scheme val="minor"/>
    </font>
    <font>
      <b/>
      <sz val="10"/>
      <color rgb="FFFF0000"/>
      <name val="Calibri"/>
      <family val="2"/>
      <scheme val="minor"/>
    </font>
    <font>
      <b/>
      <i/>
      <u/>
      <sz val="14"/>
      <color theme="6"/>
      <name val="Calibri"/>
      <family val="2"/>
      <scheme val="minor"/>
    </font>
    <font>
      <b/>
      <i/>
      <sz val="10"/>
      <color theme="8"/>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9"/>
        <bgColor indexed="64"/>
      </patternFill>
    </fill>
    <fill>
      <patternFill patternType="solid">
        <fgColor theme="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59999389629810485"/>
        <bgColor indexed="64"/>
      </patternFill>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9"/>
      </right>
      <top style="medium">
        <color indexed="64"/>
      </top>
      <bottom style="thin">
        <color theme="9"/>
      </bottom>
      <diagonal/>
    </border>
    <border>
      <left style="thin">
        <color theme="9"/>
      </left>
      <right/>
      <top style="medium">
        <color indexed="64"/>
      </top>
      <bottom style="thin">
        <color theme="9"/>
      </bottom>
      <diagonal/>
    </border>
    <border>
      <left style="medium">
        <color indexed="64"/>
      </left>
      <right style="thin">
        <color theme="9"/>
      </right>
      <top style="thin">
        <color theme="9"/>
      </top>
      <bottom style="thin">
        <color theme="9"/>
      </bottom>
      <diagonal/>
    </border>
    <border>
      <left style="thin">
        <color theme="9"/>
      </left>
      <right/>
      <top style="thin">
        <color theme="9"/>
      </top>
      <bottom style="thin">
        <color theme="9"/>
      </bottom>
      <diagonal/>
    </border>
    <border>
      <left style="medium">
        <color indexed="64"/>
      </left>
      <right/>
      <top/>
      <bottom style="thin">
        <color theme="9"/>
      </bottom>
      <diagonal/>
    </border>
    <border>
      <left/>
      <right/>
      <top/>
      <bottom style="thin">
        <color theme="9"/>
      </bottom>
      <diagonal/>
    </border>
    <border>
      <left/>
      <right style="medium">
        <color indexed="64"/>
      </right>
      <top/>
      <bottom style="thin">
        <color theme="9"/>
      </bottom>
      <diagonal/>
    </border>
    <border>
      <left style="thin">
        <color theme="9"/>
      </left>
      <right style="thin">
        <color theme="9"/>
      </right>
      <top style="thin">
        <color theme="9"/>
      </top>
      <bottom style="thin">
        <color theme="9"/>
      </bottom>
      <diagonal/>
    </border>
    <border>
      <left style="thin">
        <color theme="9"/>
      </left>
      <right style="medium">
        <color indexed="64"/>
      </right>
      <top style="thin">
        <color theme="9"/>
      </top>
      <bottom style="thin">
        <color theme="9"/>
      </bottom>
      <diagonal/>
    </border>
    <border>
      <left style="medium">
        <color indexed="64"/>
      </left>
      <right/>
      <top style="thin">
        <color theme="9"/>
      </top>
      <bottom/>
      <diagonal/>
    </border>
    <border>
      <left/>
      <right/>
      <top style="thin">
        <color theme="9"/>
      </top>
      <bottom/>
      <diagonal/>
    </border>
    <border>
      <left/>
      <right style="medium">
        <color indexed="64"/>
      </right>
      <top style="thin">
        <color theme="9"/>
      </top>
      <bottom/>
      <diagonal/>
    </border>
    <border>
      <left style="medium">
        <color indexed="64"/>
      </left>
      <right style="thin">
        <color theme="9"/>
      </right>
      <top style="thin">
        <color theme="9"/>
      </top>
      <bottom/>
      <diagonal/>
    </border>
    <border>
      <left style="thin">
        <color theme="9"/>
      </left>
      <right style="thin">
        <color theme="9"/>
      </right>
      <top style="thin">
        <color theme="9"/>
      </top>
      <bottom/>
      <diagonal/>
    </border>
    <border>
      <left style="thin">
        <color theme="9"/>
      </left>
      <right style="medium">
        <color indexed="64"/>
      </right>
      <top style="thin">
        <color theme="9"/>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theme="9"/>
      </right>
      <top style="thin">
        <color theme="9"/>
      </top>
      <bottom style="medium">
        <color indexed="64"/>
      </bottom>
      <diagonal/>
    </border>
    <border>
      <left style="thin">
        <color theme="9"/>
      </left>
      <right/>
      <top style="thin">
        <color theme="9"/>
      </top>
      <bottom style="medium">
        <color indexed="64"/>
      </bottom>
      <diagonal/>
    </border>
    <border>
      <left/>
      <right style="thin">
        <color theme="9"/>
      </right>
      <top style="thin">
        <color theme="9"/>
      </top>
      <bottom style="thin">
        <color theme="9"/>
      </bottom>
      <diagonal/>
    </border>
    <border>
      <left style="thin">
        <color theme="9"/>
      </left>
      <right/>
      <top style="thin">
        <color theme="9"/>
      </top>
      <bottom/>
      <diagonal/>
    </border>
    <border>
      <left/>
      <right style="thin">
        <color theme="9"/>
      </right>
      <top style="thin">
        <color theme="9"/>
      </top>
      <bottom/>
      <diagonal/>
    </border>
    <border>
      <left/>
      <right style="thin">
        <color theme="9"/>
      </right>
      <top/>
      <bottom/>
      <diagonal/>
    </border>
    <border>
      <left style="thin">
        <color theme="9"/>
      </left>
      <right/>
      <top/>
      <bottom/>
      <diagonal/>
    </border>
    <border>
      <left style="thin">
        <color theme="9"/>
      </left>
      <right/>
      <top/>
      <bottom style="thin">
        <color theme="9"/>
      </bottom>
      <diagonal/>
    </border>
    <border>
      <left style="thin">
        <color indexed="64"/>
      </left>
      <right style="thin">
        <color theme="9"/>
      </right>
      <top style="thin">
        <color indexed="64"/>
      </top>
      <bottom/>
      <diagonal/>
    </border>
    <border>
      <left/>
      <right style="thin">
        <color theme="9"/>
      </right>
      <top style="thin">
        <color indexed="64"/>
      </top>
      <bottom/>
      <diagonal/>
    </border>
    <border>
      <left style="thin">
        <color indexed="64"/>
      </left>
      <right style="thin">
        <color theme="9"/>
      </right>
      <top/>
      <bottom/>
      <diagonal/>
    </border>
    <border>
      <left style="thin">
        <color indexed="64"/>
      </left>
      <right style="thin">
        <color theme="9"/>
      </right>
      <top/>
      <bottom style="thin">
        <color indexed="64"/>
      </bottom>
      <diagonal/>
    </border>
    <border>
      <left/>
      <right style="thin">
        <color theme="9"/>
      </right>
      <top/>
      <bottom style="thin">
        <color indexed="64"/>
      </bottom>
      <diagonal/>
    </border>
    <border>
      <left/>
      <right/>
      <top style="medium">
        <color theme="8" tint="0.39997558519241921"/>
      </top>
      <bottom/>
      <diagonal/>
    </border>
    <border>
      <left style="medium">
        <color theme="8" tint="0.39997558519241921"/>
      </left>
      <right/>
      <top/>
      <bottom/>
      <diagonal/>
    </border>
    <border>
      <left style="medium">
        <color theme="8" tint="0.39997558519241921"/>
      </left>
      <right style="medium">
        <color theme="8" tint="0.39997558519241921"/>
      </right>
      <top style="medium">
        <color theme="8" tint="0.39997558519241921"/>
      </top>
      <bottom style="medium">
        <color theme="8" tint="0.39997558519241921"/>
      </bottom>
      <diagonal/>
    </border>
    <border>
      <left style="medium">
        <color theme="8" tint="0.39997558519241921"/>
      </left>
      <right/>
      <top style="medium">
        <color theme="8" tint="0.39997558519241921"/>
      </top>
      <bottom style="medium">
        <color theme="8" tint="0.39997558519241921"/>
      </bottom>
      <diagonal/>
    </border>
    <border>
      <left/>
      <right style="medium">
        <color theme="8" tint="0.39997558519241921"/>
      </right>
      <top style="medium">
        <color theme="8" tint="0.39997558519241921"/>
      </top>
      <bottom style="medium">
        <color theme="8" tint="0.39997558519241921"/>
      </bottom>
      <diagonal/>
    </border>
    <border>
      <left style="medium">
        <color theme="8" tint="0.39997558519241921"/>
      </left>
      <right style="thin">
        <color indexed="64"/>
      </right>
      <top style="medium">
        <color theme="8" tint="0.39997558519241921"/>
      </top>
      <bottom style="thin">
        <color indexed="64"/>
      </bottom>
      <diagonal/>
    </border>
    <border>
      <left style="thin">
        <color indexed="64"/>
      </left>
      <right style="thin">
        <color indexed="64"/>
      </right>
      <top style="medium">
        <color theme="8" tint="0.39997558519241921"/>
      </top>
      <bottom style="thin">
        <color indexed="64"/>
      </bottom>
      <diagonal/>
    </border>
    <border>
      <left style="thin">
        <color indexed="64"/>
      </left>
      <right style="medium">
        <color theme="8" tint="0.39997558519241921"/>
      </right>
      <top style="medium">
        <color theme="8" tint="0.39997558519241921"/>
      </top>
      <bottom style="thin">
        <color indexed="64"/>
      </bottom>
      <diagonal/>
    </border>
    <border>
      <left style="medium">
        <color theme="8" tint="0.39997558519241921"/>
      </left>
      <right style="thin">
        <color indexed="64"/>
      </right>
      <top style="thin">
        <color indexed="64"/>
      </top>
      <bottom style="thin">
        <color indexed="64"/>
      </bottom>
      <diagonal/>
    </border>
    <border>
      <left style="thin">
        <color indexed="64"/>
      </left>
      <right style="medium">
        <color theme="8" tint="0.39997558519241921"/>
      </right>
      <top style="thin">
        <color indexed="64"/>
      </top>
      <bottom style="thin">
        <color indexed="64"/>
      </bottom>
      <diagonal/>
    </border>
    <border>
      <left style="medium">
        <color theme="8" tint="0.39997558519241921"/>
      </left>
      <right style="thin">
        <color indexed="64"/>
      </right>
      <top style="thin">
        <color indexed="64"/>
      </top>
      <bottom style="medium">
        <color theme="8" tint="0.39997558519241921"/>
      </bottom>
      <diagonal/>
    </border>
    <border>
      <left style="thin">
        <color indexed="64"/>
      </left>
      <right style="thin">
        <color indexed="64"/>
      </right>
      <top style="thin">
        <color indexed="64"/>
      </top>
      <bottom style="medium">
        <color theme="8" tint="0.39997558519241921"/>
      </bottom>
      <diagonal/>
    </border>
    <border>
      <left style="thin">
        <color indexed="64"/>
      </left>
      <right style="medium">
        <color theme="8" tint="0.39997558519241921"/>
      </right>
      <top style="thin">
        <color indexed="64"/>
      </top>
      <bottom style="medium">
        <color theme="8" tint="0.39997558519241921"/>
      </bottom>
      <diagonal/>
    </border>
    <border>
      <left style="medium">
        <color theme="8" tint="0.39997558519241921"/>
      </left>
      <right/>
      <top style="medium">
        <color theme="8" tint="0.39997558519241921"/>
      </top>
      <bottom style="thin">
        <color indexed="64"/>
      </bottom>
      <diagonal/>
    </border>
    <border>
      <left/>
      <right/>
      <top style="medium">
        <color theme="8" tint="0.39997558519241921"/>
      </top>
      <bottom style="thin">
        <color indexed="64"/>
      </bottom>
      <diagonal/>
    </border>
    <border>
      <left/>
      <right style="medium">
        <color theme="8" tint="0.39997558519241921"/>
      </right>
      <top style="medium">
        <color theme="8" tint="0.39997558519241921"/>
      </top>
      <bottom style="thin">
        <color indexed="64"/>
      </bottom>
      <diagonal/>
    </border>
    <border>
      <left style="medium">
        <color theme="8" tint="0.39997558519241921"/>
      </left>
      <right/>
      <top style="thin">
        <color indexed="64"/>
      </top>
      <bottom style="thin">
        <color indexed="64"/>
      </bottom>
      <diagonal/>
    </border>
    <border>
      <left/>
      <right style="medium">
        <color theme="8" tint="0.39997558519241921"/>
      </right>
      <top style="thin">
        <color indexed="64"/>
      </top>
      <bottom style="thin">
        <color indexed="64"/>
      </bottom>
      <diagonal/>
    </border>
    <border>
      <left style="medium">
        <color theme="8" tint="0.39997558519241921"/>
      </left>
      <right/>
      <top style="thin">
        <color indexed="64"/>
      </top>
      <bottom style="medium">
        <color theme="8" tint="0.39997558519241921"/>
      </bottom>
      <diagonal/>
    </border>
    <border>
      <left/>
      <right/>
      <top style="thin">
        <color indexed="64"/>
      </top>
      <bottom style="medium">
        <color theme="8" tint="0.39997558519241921"/>
      </bottom>
      <diagonal/>
    </border>
    <border>
      <left/>
      <right style="medium">
        <color theme="8" tint="0.39997558519241921"/>
      </right>
      <top style="thin">
        <color indexed="64"/>
      </top>
      <bottom style="medium">
        <color theme="8" tint="0.39997558519241921"/>
      </bottom>
      <diagonal/>
    </border>
    <border>
      <left style="medium">
        <color theme="8" tint="0.39997558519241921"/>
      </left>
      <right style="thin">
        <color indexed="64"/>
      </right>
      <top style="medium">
        <color theme="8" tint="0.39997558519241921"/>
      </top>
      <bottom style="medium">
        <color theme="8" tint="0.39997558519241921"/>
      </bottom>
      <diagonal/>
    </border>
    <border>
      <left style="thin">
        <color indexed="64"/>
      </left>
      <right style="medium">
        <color theme="8" tint="0.39997558519241921"/>
      </right>
      <top style="medium">
        <color theme="8" tint="0.39997558519241921"/>
      </top>
      <bottom style="medium">
        <color theme="8" tint="0.39997558519241921"/>
      </bottom>
      <diagonal/>
    </border>
    <border>
      <left style="thin">
        <color indexed="64"/>
      </left>
      <right style="thin">
        <color indexed="64"/>
      </right>
      <top style="medium">
        <color theme="8" tint="0.39997558519241921"/>
      </top>
      <bottom style="medium">
        <color theme="8" tint="0.39997558519241921"/>
      </bottom>
      <diagonal/>
    </border>
    <border>
      <left/>
      <right/>
      <top style="thin">
        <color theme="9"/>
      </top>
      <bottom style="thin">
        <color theme="9"/>
      </bottom>
      <diagonal/>
    </border>
    <border>
      <left/>
      <right/>
      <top/>
      <bottom style="medium">
        <color theme="8" tint="0.39997558519241921"/>
      </bottom>
      <diagonal/>
    </border>
    <border>
      <left style="medium">
        <color theme="8" tint="0.39997558519241921"/>
      </left>
      <right/>
      <top/>
      <bottom style="thin">
        <color indexed="64"/>
      </bottom>
      <diagonal/>
    </border>
    <border>
      <left/>
      <right style="thin">
        <color indexed="64"/>
      </right>
      <top style="medium">
        <color theme="8" tint="0.39997558519241921"/>
      </top>
      <bottom style="thin">
        <color indexed="64"/>
      </bottom>
      <diagonal/>
    </border>
    <border>
      <left/>
      <right style="medium">
        <color theme="8" tint="0.39997558519241921"/>
      </right>
      <top/>
      <bottom style="thin">
        <color indexed="64"/>
      </bottom>
      <diagonal/>
    </border>
    <border>
      <left style="thin">
        <color indexed="64"/>
      </left>
      <right/>
      <top style="medium">
        <color theme="8" tint="0.39997558519241921"/>
      </top>
      <bottom style="thin">
        <color indexed="64"/>
      </bottom>
      <diagonal/>
    </border>
    <border>
      <left style="thin">
        <color indexed="64"/>
      </left>
      <right/>
      <top style="thin">
        <color indexed="64"/>
      </top>
      <bottom style="medium">
        <color theme="8" tint="0.39997558519241921"/>
      </bottom>
      <diagonal/>
    </border>
  </borders>
  <cellStyleXfs count="8">
    <xf numFmtId="0" fontId="0" fillId="0" borderId="0"/>
    <xf numFmtId="9" fontId="1" fillId="0" borderId="0" applyFont="0" applyFill="0" applyBorder="0" applyAlignment="0" applyProtection="0"/>
    <xf numFmtId="43" fontId="1" fillId="0" borderId="0" applyFont="0" applyFill="0" applyBorder="0" applyAlignment="0" applyProtection="0"/>
    <xf numFmtId="0" fontId="7" fillId="0" borderId="0"/>
    <xf numFmtId="168" fontId="7" fillId="0" borderId="0" applyFont="0" applyFill="0" applyBorder="0" applyAlignment="0" applyProtection="0"/>
    <xf numFmtId="0" fontId="21" fillId="0" borderId="0" applyNumberFormat="0" applyFill="0" applyBorder="0" applyAlignment="0" applyProtection="0"/>
    <xf numFmtId="0" fontId="7" fillId="0" borderId="0"/>
    <xf numFmtId="0" fontId="38" fillId="0" borderId="0"/>
  </cellStyleXfs>
  <cellXfs count="1160">
    <xf numFmtId="0" fontId="0" fillId="0" borderId="0" xfId="0"/>
    <xf numFmtId="0" fontId="0" fillId="3" borderId="0" xfId="0" applyFill="1"/>
    <xf numFmtId="0" fontId="0" fillId="4" borderId="0" xfId="0" applyFill="1"/>
    <xf numFmtId="0" fontId="0" fillId="0" borderId="0" xfId="0" applyBorder="1"/>
    <xf numFmtId="0" fontId="0" fillId="0" borderId="0" xfId="0" applyAlignment="1">
      <alignment vertical="center"/>
    </xf>
    <xf numFmtId="0" fontId="0" fillId="0" borderId="0" xfId="0" applyFill="1"/>
    <xf numFmtId="0" fontId="6" fillId="0" borderId="0" xfId="0" applyFont="1"/>
    <xf numFmtId="0" fontId="2" fillId="0" borderId="0" xfId="0" applyFont="1"/>
    <xf numFmtId="0" fontId="8" fillId="0" borderId="0" xfId="0" applyFont="1"/>
    <xf numFmtId="0" fontId="0" fillId="0" borderId="10" xfId="0" applyBorder="1"/>
    <xf numFmtId="0" fontId="0" fillId="0" borderId="9" xfId="0" applyBorder="1"/>
    <xf numFmtId="2" fontId="0" fillId="0" borderId="0" xfId="0" applyNumberFormat="1"/>
    <xf numFmtId="0" fontId="0" fillId="0" borderId="0" xfId="0" applyFill="1" applyBorder="1"/>
    <xf numFmtId="0" fontId="9" fillId="4" borderId="0" xfId="0" applyFont="1" applyFill="1"/>
    <xf numFmtId="0" fontId="0" fillId="0" borderId="0" xfId="0" applyAlignment="1">
      <alignment vertical="top" wrapText="1"/>
    </xf>
    <xf numFmtId="0" fontId="0" fillId="4" borderId="0" xfId="0" applyFont="1" applyFill="1"/>
    <xf numFmtId="0" fontId="11" fillId="0" borderId="0" xfId="0" applyFont="1" applyBorder="1"/>
    <xf numFmtId="0" fontId="3" fillId="0" borderId="0" xfId="0" applyFont="1" applyBorder="1"/>
    <xf numFmtId="0" fontId="11" fillId="0" borderId="0" xfId="0" applyFont="1"/>
    <xf numFmtId="0" fontId="3" fillId="0" borderId="0" xfId="0" applyFont="1"/>
    <xf numFmtId="0" fontId="3" fillId="0" borderId="10" xfId="0" applyFont="1" applyBorder="1"/>
    <xf numFmtId="0" fontId="3" fillId="0" borderId="19" xfId="0" applyFont="1" applyBorder="1"/>
    <xf numFmtId="10" fontId="3" fillId="0" borderId="9" xfId="0" applyNumberFormat="1" applyFont="1" applyBorder="1"/>
    <xf numFmtId="10" fontId="3" fillId="0" borderId="9" xfId="1" applyNumberFormat="1" applyFont="1" applyBorder="1"/>
    <xf numFmtId="2" fontId="3" fillId="0" borderId="9" xfId="0" applyNumberFormat="1" applyFont="1" applyBorder="1"/>
    <xf numFmtId="43" fontId="3" fillId="0" borderId="9" xfId="2" applyFont="1" applyBorder="1"/>
    <xf numFmtId="10" fontId="3" fillId="0" borderId="0" xfId="0" applyNumberFormat="1" applyFont="1" applyBorder="1"/>
    <xf numFmtId="0" fontId="3" fillId="0" borderId="0" xfId="0" applyFont="1" applyBorder="1" applyAlignment="1">
      <alignment horizontal="center"/>
    </xf>
    <xf numFmtId="0" fontId="3" fillId="0" borderId="0" xfId="0" applyFont="1" applyFill="1" applyBorder="1"/>
    <xf numFmtId="0" fontId="3" fillId="0" borderId="0" xfId="0" applyFont="1" applyFill="1"/>
    <xf numFmtId="0" fontId="3" fillId="0" borderId="0" xfId="0" applyFont="1" applyBorder="1" applyAlignment="1">
      <alignment wrapText="1"/>
    </xf>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left" vertical="center" wrapText="1"/>
    </xf>
    <xf numFmtId="0" fontId="0" fillId="0" borderId="0" xfId="0" applyBorder="1" applyAlignment="1">
      <alignment wrapText="1"/>
    </xf>
    <xf numFmtId="0" fontId="0" fillId="0" borderId="0" xfId="0" applyAlignment="1">
      <alignment horizontal="left" wrapText="1"/>
    </xf>
    <xf numFmtId="0" fontId="0" fillId="0" borderId="0" xfId="0" applyAlignment="1">
      <alignment horizontal="right"/>
    </xf>
    <xf numFmtId="0" fontId="15" fillId="0" borderId="0" xfId="0" applyFont="1"/>
    <xf numFmtId="0" fontId="3" fillId="0" borderId="0" xfId="0" applyFont="1" applyAlignment="1">
      <alignment horizontal="right" vertical="center" wrapText="1"/>
    </xf>
    <xf numFmtId="2" fontId="3" fillId="0" borderId="0" xfId="0" applyNumberFormat="1" applyFont="1" applyBorder="1"/>
    <xf numFmtId="0" fontId="0" fillId="0" borderId="0" xfId="0" applyBorder="1" applyAlignment="1">
      <alignment horizontal="right" indent="1"/>
    </xf>
    <xf numFmtId="0" fontId="9" fillId="0" borderId="0" xfId="0" applyFont="1"/>
    <xf numFmtId="0" fontId="3" fillId="0" borderId="0" xfId="0" applyFont="1" applyAlignment="1">
      <alignment wrapText="1"/>
    </xf>
    <xf numFmtId="0" fontId="0" fillId="0" borderId="0" xfId="0" applyAlignment="1">
      <alignment horizontal="right" indent="1"/>
    </xf>
    <xf numFmtId="10" fontId="0" fillId="0" borderId="0" xfId="0" applyNumberFormat="1" applyAlignment="1">
      <alignment horizontal="right"/>
    </xf>
    <xf numFmtId="166" fontId="0" fillId="0" borderId="0" xfId="2" applyNumberFormat="1" applyFont="1" applyAlignment="1">
      <alignment horizontal="right"/>
    </xf>
    <xf numFmtId="2" fontId="0" fillId="0" borderId="0" xfId="0" applyNumberFormat="1" applyAlignment="1">
      <alignment horizontal="right"/>
    </xf>
    <xf numFmtId="165" fontId="0" fillId="0" borderId="0" xfId="0" applyNumberFormat="1" applyAlignment="1">
      <alignment horizontal="right"/>
    </xf>
    <xf numFmtId="2" fontId="2" fillId="0" borderId="0" xfId="0" applyNumberFormat="1" applyFont="1"/>
    <xf numFmtId="1" fontId="3" fillId="0" borderId="0" xfId="0" applyNumberFormat="1" applyFont="1" applyAlignment="1">
      <alignment horizontal="right"/>
    </xf>
    <xf numFmtId="0" fontId="16" fillId="0" borderId="0" xfId="3" applyFont="1" applyFill="1" applyBorder="1"/>
    <xf numFmtId="0" fontId="17" fillId="0" borderId="0" xfId="3" applyFont="1" applyFill="1" applyBorder="1"/>
    <xf numFmtId="0" fontId="17" fillId="0" borderId="0" xfId="3" applyFont="1" applyFill="1" applyBorder="1" applyAlignment="1">
      <alignment horizontal="right"/>
    </xf>
    <xf numFmtId="167" fontId="16" fillId="0" borderId="0" xfId="3" applyNumberFormat="1" applyFont="1" applyFill="1" applyBorder="1" applyAlignment="1">
      <alignment horizontal="left"/>
    </xf>
    <xf numFmtId="0" fontId="16" fillId="0" borderId="0" xfId="4" applyNumberFormat="1" applyFont="1" applyFill="1" applyBorder="1" applyAlignment="1">
      <alignment horizontal="left"/>
    </xf>
    <xf numFmtId="4" fontId="17" fillId="0" borderId="0" xfId="3" applyNumberFormat="1" applyFont="1" applyFill="1" applyBorder="1" applyAlignment="1">
      <alignment horizontal="right"/>
    </xf>
    <xf numFmtId="1" fontId="16" fillId="0" borderId="0" xfId="4" applyNumberFormat="1" applyFont="1" applyFill="1" applyBorder="1" applyAlignment="1">
      <alignment horizontal="left"/>
    </xf>
    <xf numFmtId="14" fontId="16" fillId="0" borderId="0" xfId="4" applyNumberFormat="1" applyFont="1" applyFill="1" applyBorder="1" applyAlignment="1">
      <alignment horizontal="left"/>
    </xf>
    <xf numFmtId="0" fontId="17" fillId="0" borderId="0" xfId="3" applyFont="1" applyFill="1" applyBorder="1" applyAlignment="1">
      <alignment vertical="center"/>
    </xf>
    <xf numFmtId="0" fontId="17" fillId="0" borderId="0" xfId="3" applyFont="1" applyFill="1" applyBorder="1" applyAlignment="1">
      <alignment horizontal="right" vertical="center"/>
    </xf>
    <xf numFmtId="10" fontId="16" fillId="0" borderId="0" xfId="4" applyNumberFormat="1" applyFont="1" applyFill="1" applyBorder="1" applyAlignment="1">
      <alignment horizontal="left" vertical="center"/>
    </xf>
    <xf numFmtId="164" fontId="17" fillId="0" borderId="0" xfId="1" applyNumberFormat="1" applyFont="1" applyFill="1" applyBorder="1" applyAlignment="1">
      <alignment horizontal="right" vertical="center"/>
    </xf>
    <xf numFmtId="4" fontId="17" fillId="0" borderId="0" xfId="3" applyNumberFormat="1" applyFont="1" applyFill="1" applyBorder="1"/>
    <xf numFmtId="10" fontId="16" fillId="0" borderId="0" xfId="3" applyNumberFormat="1" applyFont="1" applyFill="1" applyBorder="1" applyAlignment="1">
      <alignment horizontal="left"/>
    </xf>
    <xf numFmtId="164" fontId="17" fillId="0" borderId="0" xfId="1" applyNumberFormat="1" applyFont="1" applyFill="1" applyBorder="1" applyAlignment="1">
      <alignment horizontal="right"/>
    </xf>
    <xf numFmtId="1" fontId="16" fillId="0" borderId="0" xfId="3" applyNumberFormat="1" applyFont="1" applyFill="1" applyBorder="1" applyAlignment="1">
      <alignment horizontal="left"/>
    </xf>
    <xf numFmtId="14" fontId="16" fillId="0" borderId="0" xfId="3" applyNumberFormat="1" applyFont="1" applyFill="1" applyBorder="1" applyAlignment="1">
      <alignment horizontal="left"/>
    </xf>
    <xf numFmtId="0" fontId="17" fillId="0" borderId="0" xfId="3" applyFont="1" applyFill="1" applyBorder="1" applyAlignment="1">
      <alignment horizontal="center"/>
    </xf>
    <xf numFmtId="0" fontId="3" fillId="0" borderId="0" xfId="0" applyFont="1" applyBorder="1" applyAlignment="1">
      <alignment horizontal="left"/>
    </xf>
    <xf numFmtId="0" fontId="0" fillId="0" borderId="0" xfId="0" applyFill="1" applyBorder="1" applyAlignment="1">
      <alignment horizontal="center"/>
    </xf>
    <xf numFmtId="0" fontId="3" fillId="0" borderId="0" xfId="0" applyFont="1" applyAlignment="1">
      <alignment vertical="center" wrapText="1"/>
    </xf>
    <xf numFmtId="0" fontId="3" fillId="0" borderId="0" xfId="0" applyFont="1" applyAlignment="1">
      <alignment vertical="center"/>
    </xf>
    <xf numFmtId="0" fontId="3" fillId="0" borderId="11" xfId="0" applyFont="1" applyBorder="1" applyAlignment="1">
      <alignment horizontal="left"/>
    </xf>
    <xf numFmtId="0" fontId="3" fillId="0" borderId="0" xfId="0" applyFont="1" applyAlignment="1"/>
    <xf numFmtId="0" fontId="12" fillId="0" borderId="0" xfId="0" applyFont="1"/>
    <xf numFmtId="0" fontId="3" fillId="0" borderId="9" xfId="0" applyFont="1" applyBorder="1" applyAlignment="1">
      <alignment horizontal="center" vertical="center"/>
    </xf>
    <xf numFmtId="0" fontId="3" fillId="0" borderId="0" xfId="0" applyFont="1" applyFill="1" applyBorder="1" applyAlignment="1">
      <alignment horizontal="center" vertical="center"/>
    </xf>
    <xf numFmtId="0" fontId="3" fillId="0" borderId="21" xfId="0" applyFont="1" applyFill="1" applyBorder="1" applyAlignment="1">
      <alignment horizontal="center"/>
    </xf>
    <xf numFmtId="0" fontId="3" fillId="0" borderId="0" xfId="0" applyFont="1" applyAlignment="1">
      <alignment horizontal="center"/>
    </xf>
    <xf numFmtId="0" fontId="3" fillId="0" borderId="9" xfId="0" applyFont="1" applyBorder="1" applyAlignment="1"/>
    <xf numFmtId="0" fontId="3" fillId="0" borderId="0" xfId="0" applyFont="1" applyFill="1" applyBorder="1" applyAlignment="1">
      <alignment horizontal="center"/>
    </xf>
    <xf numFmtId="0" fontId="3" fillId="0" borderId="10" xfId="0" applyFont="1" applyBorder="1" applyAlignment="1"/>
    <xf numFmtId="0" fontId="3" fillId="0" borderId="19" xfId="0" applyFont="1" applyBorder="1" applyAlignment="1"/>
    <xf numFmtId="0" fontId="19" fillId="0" borderId="0" xfId="0" applyFont="1" applyBorder="1" applyAlignment="1">
      <alignment horizontal="center" vertical="center"/>
    </xf>
    <xf numFmtId="0" fontId="3" fillId="0" borderId="20" xfId="0" applyFont="1" applyFill="1" applyBorder="1" applyAlignment="1"/>
    <xf numFmtId="0" fontId="3" fillId="0" borderId="17" xfId="0" applyFont="1" applyFill="1" applyBorder="1" applyAlignment="1"/>
    <xf numFmtId="0" fontId="3" fillId="0" borderId="11" xfId="0" applyFont="1" applyFill="1" applyBorder="1" applyAlignment="1">
      <alignment horizontal="center"/>
    </xf>
    <xf numFmtId="0" fontId="12" fillId="0" borderId="0" xfId="0" applyFont="1" applyAlignment="1">
      <alignment horizontal="center"/>
    </xf>
    <xf numFmtId="0" fontId="3" fillId="0" borderId="0" xfId="0" applyFont="1" applyFill="1" applyAlignment="1">
      <alignment horizontal="center"/>
    </xf>
    <xf numFmtId="0" fontId="3" fillId="0" borderId="12" xfId="0" applyFont="1" applyFill="1" applyBorder="1" applyAlignment="1">
      <alignment horizontal="center"/>
    </xf>
    <xf numFmtId="0" fontId="3" fillId="0" borderId="23" xfId="0" applyFont="1" applyFill="1" applyBorder="1" applyAlignment="1">
      <alignment horizontal="center"/>
    </xf>
    <xf numFmtId="0" fontId="3" fillId="0" borderId="20" xfId="0" applyFont="1" applyBorder="1" applyAlignment="1">
      <alignment horizontal="left"/>
    </xf>
    <xf numFmtId="0" fontId="3" fillId="0" borderId="17" xfId="0" applyFont="1" applyBorder="1" applyAlignment="1">
      <alignment horizontal="left"/>
    </xf>
    <xf numFmtId="0" fontId="3" fillId="0" borderId="21" xfId="0" applyFont="1" applyBorder="1" applyAlignment="1">
      <alignment horizontal="left"/>
    </xf>
    <xf numFmtId="0" fontId="3" fillId="0" borderId="18" xfId="0" applyFont="1" applyBorder="1" applyAlignment="1">
      <alignment horizontal="left"/>
    </xf>
    <xf numFmtId="0" fontId="3" fillId="0" borderId="22" xfId="0" applyFont="1" applyBorder="1" applyAlignment="1">
      <alignment horizontal="left"/>
    </xf>
    <xf numFmtId="0" fontId="3" fillId="0" borderId="23" xfId="0" applyFont="1" applyBorder="1" applyAlignment="1">
      <alignment horizontal="left"/>
    </xf>
    <xf numFmtId="0" fontId="3" fillId="0" borderId="21" xfId="0" applyFont="1" applyFill="1" applyBorder="1" applyAlignment="1"/>
    <xf numFmtId="0" fontId="3" fillId="0" borderId="18" xfId="0" applyFont="1" applyFill="1" applyBorder="1" applyAlignment="1"/>
    <xf numFmtId="0" fontId="11" fillId="0" borderId="0" xfId="0" applyFont="1" applyFill="1"/>
    <xf numFmtId="0" fontId="5" fillId="0" borderId="0" xfId="0" applyFont="1" applyFill="1" applyAlignment="1">
      <alignment vertical="center" wrapText="1"/>
    </xf>
    <xf numFmtId="0" fontId="0" fillId="0" borderId="9" xfId="0" applyFill="1" applyBorder="1" applyAlignment="1">
      <alignment horizontal="center"/>
    </xf>
    <xf numFmtId="0" fontId="3" fillId="2" borderId="13" xfId="0" applyFont="1" applyFill="1" applyBorder="1" applyAlignment="1" applyProtection="1">
      <protection locked="0"/>
    </xf>
    <xf numFmtId="0" fontId="3" fillId="2" borderId="10" xfId="0" applyFont="1" applyFill="1" applyBorder="1" applyAlignment="1" applyProtection="1">
      <protection locked="0"/>
    </xf>
    <xf numFmtId="0" fontId="3" fillId="2" borderId="19" xfId="0" applyFont="1" applyFill="1" applyBorder="1" applyAlignment="1" applyProtection="1">
      <protection locked="0"/>
    </xf>
    <xf numFmtId="0" fontId="3" fillId="0" borderId="11" xfId="0" applyFont="1" applyFill="1" applyBorder="1" applyAlignment="1">
      <alignment horizontal="center" vertical="center"/>
    </xf>
    <xf numFmtId="0" fontId="3" fillId="0" borderId="21" xfId="0" applyFont="1" applyFill="1" applyBorder="1" applyAlignment="1" applyProtection="1">
      <alignment horizontal="center"/>
      <protection locked="0"/>
    </xf>
    <xf numFmtId="0" fontId="3" fillId="0" borderId="18" xfId="0" applyFont="1" applyFill="1" applyBorder="1" applyAlignment="1" applyProtection="1">
      <alignment horizontal="center"/>
      <protection locked="0"/>
    </xf>
    <xf numFmtId="0" fontId="3" fillId="0" borderId="23" xfId="0" applyFont="1" applyFill="1" applyBorder="1" applyAlignment="1" applyProtection="1">
      <alignment horizontal="center"/>
      <protection locked="0"/>
    </xf>
    <xf numFmtId="0" fontId="3" fillId="0" borderId="0" xfId="0" applyFont="1" applyAlignment="1"/>
    <xf numFmtId="0" fontId="3" fillId="0" borderId="21" xfId="0" applyFont="1" applyBorder="1" applyAlignment="1"/>
    <xf numFmtId="0" fontId="3" fillId="0" borderId="23" xfId="0" applyFont="1" applyBorder="1" applyAlignment="1"/>
    <xf numFmtId="0" fontId="20" fillId="0" borderId="15" xfId="0" applyFont="1" applyFill="1" applyBorder="1" applyAlignment="1">
      <alignment horizontal="center" vertical="center"/>
    </xf>
    <xf numFmtId="0" fontId="0" fillId="0" borderId="0" xfId="0" applyProtection="1">
      <protection locked="0"/>
    </xf>
    <xf numFmtId="0" fontId="3" fillId="0" borderId="9" xfId="0" applyFont="1" applyBorder="1" applyAlignment="1">
      <alignment horizontal="center"/>
    </xf>
    <xf numFmtId="0" fontId="3" fillId="0" borderId="9" xfId="0" applyFont="1" applyFill="1" applyBorder="1" applyAlignment="1">
      <alignment horizontal="center"/>
    </xf>
    <xf numFmtId="0" fontId="3" fillId="0" borderId="10" xfId="0" applyFont="1" applyBorder="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0" fillId="0" borderId="9" xfId="0" applyBorder="1" applyAlignment="1">
      <alignment horizontal="center"/>
    </xf>
    <xf numFmtId="0" fontId="22" fillId="0" borderId="0" xfId="0" applyFont="1"/>
    <xf numFmtId="0" fontId="0" fillId="0" borderId="0" xfId="0" applyFill="1" applyAlignment="1">
      <alignment vertical="center"/>
    </xf>
    <xf numFmtId="0" fontId="0" fillId="0" borderId="0" xfId="0" applyFill="1" applyAlignment="1"/>
    <xf numFmtId="0" fontId="6" fillId="0" borderId="0" xfId="0" applyFont="1" applyFill="1"/>
    <xf numFmtId="0" fontId="26" fillId="0" borderId="0" xfId="0" applyFont="1" applyFill="1" applyBorder="1" applyAlignment="1">
      <alignment horizontal="center" vertical="center"/>
    </xf>
    <xf numFmtId="0" fontId="27" fillId="0" borderId="17" xfId="0" applyFont="1" applyBorder="1" applyAlignment="1">
      <alignment horizontal="left" vertical="center"/>
    </xf>
    <xf numFmtId="0" fontId="27" fillId="0" borderId="43"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0" fillId="4" borderId="0" xfId="0" applyFill="1" applyAlignment="1">
      <alignment horizontal="left"/>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9" xfId="0" applyFont="1" applyFill="1" applyBorder="1" applyAlignment="1">
      <alignment horizontal="center"/>
    </xf>
    <xf numFmtId="0" fontId="3" fillId="0" borderId="9" xfId="0" applyFont="1" applyBorder="1" applyAlignment="1">
      <alignment horizontal="center"/>
    </xf>
    <xf numFmtId="0" fontId="3" fillId="0" borderId="9" xfId="0" applyFont="1" applyBorder="1" applyAlignment="1"/>
    <xf numFmtId="0" fontId="3" fillId="0" borderId="10" xfId="0" applyFont="1" applyFill="1" applyBorder="1" applyAlignment="1">
      <alignment horizontal="left"/>
    </xf>
    <xf numFmtId="0" fontId="3" fillId="0" borderId="0" xfId="0" applyFont="1" applyAlignment="1">
      <alignment horizontal="left" vertical="top" wrapText="1"/>
    </xf>
    <xf numFmtId="0" fontId="0" fillId="0" borderId="9" xfId="0" applyBorder="1" applyAlignment="1">
      <alignment horizontal="center"/>
    </xf>
    <xf numFmtId="0" fontId="28" fillId="4" borderId="0" xfId="0" applyFont="1" applyFill="1" applyAlignment="1">
      <alignment vertical="center"/>
    </xf>
    <xf numFmtId="0" fontId="14" fillId="0" borderId="0" xfId="0" applyFont="1"/>
    <xf numFmtId="0" fontId="31" fillId="0" borderId="0" xfId="0" applyFont="1" applyAlignment="1">
      <alignment horizontal="center"/>
    </xf>
    <xf numFmtId="0" fontId="3" fillId="0" borderId="9" xfId="0" applyFont="1" applyBorder="1"/>
    <xf numFmtId="14" fontId="3" fillId="0" borderId="9" xfId="0" applyNumberFormat="1" applyFont="1" applyBorder="1"/>
    <xf numFmtId="14" fontId="3" fillId="0" borderId="0" xfId="0" applyNumberFormat="1" applyFont="1"/>
    <xf numFmtId="0" fontId="0" fillId="0" borderId="34" xfId="0" applyBorder="1" applyAlignment="1">
      <alignment horizontal="center"/>
    </xf>
    <xf numFmtId="0" fontId="3" fillId="0" borderId="34" xfId="0" applyFont="1" applyBorder="1" applyAlignment="1">
      <alignment horizontal="left"/>
    </xf>
    <xf numFmtId="171" fontId="3" fillId="0" borderId="0" xfId="0" applyNumberFormat="1" applyFont="1" applyFill="1"/>
    <xf numFmtId="0" fontId="32" fillId="0" borderId="0" xfId="0" applyFont="1"/>
    <xf numFmtId="0" fontId="3" fillId="2" borderId="34" xfId="0" applyFont="1" applyFill="1" applyBorder="1" applyAlignment="1">
      <alignment horizontal="center"/>
    </xf>
    <xf numFmtId="0" fontId="3" fillId="0" borderId="30" xfId="0" applyFont="1" applyBorder="1" applyAlignment="1">
      <alignment vertical="center"/>
    </xf>
    <xf numFmtId="0" fontId="3" fillId="0" borderId="9" xfId="0" applyFont="1" applyFill="1" applyBorder="1"/>
    <xf numFmtId="0" fontId="34" fillId="0" borderId="0" xfId="0" applyFont="1"/>
    <xf numFmtId="0" fontId="3" fillId="0" borderId="34" xfId="0" applyFont="1" applyBorder="1" applyAlignment="1">
      <alignment horizontal="center"/>
    </xf>
    <xf numFmtId="14" fontId="3" fillId="2" borderId="34" xfId="0" applyNumberFormat="1" applyFont="1" applyFill="1" applyBorder="1" applyAlignment="1">
      <alignment horizontal="center"/>
    </xf>
    <xf numFmtId="0" fontId="3" fillId="2" borderId="34" xfId="0" applyFont="1" applyFill="1" applyBorder="1"/>
    <xf numFmtId="0" fontId="3" fillId="5" borderId="0" xfId="0" applyFont="1" applyFill="1"/>
    <xf numFmtId="0" fontId="34" fillId="3" borderId="47" xfId="6" applyFont="1" applyFill="1" applyBorder="1" applyProtection="1"/>
    <xf numFmtId="0" fontId="34" fillId="3" borderId="37" xfId="0" applyFont="1" applyFill="1" applyBorder="1"/>
    <xf numFmtId="0" fontId="34" fillId="3" borderId="48" xfId="0" applyFont="1" applyFill="1" applyBorder="1"/>
    <xf numFmtId="0" fontId="3" fillId="0" borderId="50" xfId="6" applyFont="1" applyBorder="1" applyAlignment="1" applyProtection="1">
      <alignment horizontal="left"/>
    </xf>
    <xf numFmtId="0" fontId="3" fillId="0" borderId="0" xfId="6" applyFont="1" applyBorder="1" applyAlignment="1" applyProtection="1">
      <alignment horizontal="left"/>
    </xf>
    <xf numFmtId="0" fontId="3" fillId="0" borderId="50" xfId="6" applyFont="1" applyBorder="1" applyAlignment="1" applyProtection="1"/>
    <xf numFmtId="0" fontId="31" fillId="4" borderId="50" xfId="6" applyFont="1" applyFill="1" applyBorder="1" applyAlignment="1" applyProtection="1">
      <alignment horizontal="left"/>
    </xf>
    <xf numFmtId="0" fontId="3" fillId="4" borderId="0" xfId="0" applyFont="1" applyFill="1" applyBorder="1" applyAlignment="1">
      <alignment horizontal="left"/>
    </xf>
    <xf numFmtId="0" fontId="3" fillId="0" borderId="50" xfId="0" applyFont="1" applyBorder="1"/>
    <xf numFmtId="0" fontId="18" fillId="0" borderId="0" xfId="6" applyFont="1" applyBorder="1" applyProtection="1"/>
    <xf numFmtId="0" fontId="3" fillId="0" borderId="50" xfId="6" applyFont="1" applyBorder="1" applyProtection="1">
      <protection locked="0"/>
    </xf>
    <xf numFmtId="0" fontId="3" fillId="0" borderId="50" xfId="7" applyFont="1" applyFill="1" applyBorder="1" applyProtection="1">
      <protection locked="0"/>
    </xf>
    <xf numFmtId="0" fontId="31" fillId="4" borderId="50" xfId="6" applyFont="1" applyFill="1" applyBorder="1" applyProtection="1"/>
    <xf numFmtId="0" fontId="3" fillId="4" borderId="0" xfId="0" applyFont="1" applyFill="1" applyBorder="1"/>
    <xf numFmtId="0" fontId="3" fillId="0" borderId="51" xfId="6" applyFont="1" applyFill="1" applyBorder="1" applyProtection="1">
      <protection locked="0"/>
    </xf>
    <xf numFmtId="0" fontId="3" fillId="0" borderId="32" xfId="0" applyFont="1" applyBorder="1"/>
    <xf numFmtId="0" fontId="3" fillId="4" borderId="0" xfId="0" applyFont="1" applyFill="1"/>
    <xf numFmtId="0" fontId="9" fillId="0" borderId="0" xfId="0" applyFont="1" applyFill="1"/>
    <xf numFmtId="0" fontId="39" fillId="3" borderId="48" xfId="6" applyFont="1" applyFill="1" applyBorder="1" applyAlignment="1" applyProtection="1">
      <alignment horizontal="center"/>
    </xf>
    <xf numFmtId="166" fontId="40" fillId="4" borderId="14" xfId="2" applyNumberFormat="1" applyFont="1" applyFill="1" applyBorder="1" applyAlignment="1" applyProtection="1">
      <alignment horizontal="center"/>
    </xf>
    <xf numFmtId="166" fontId="30" fillId="4" borderId="50" xfId="2" applyNumberFormat="1" applyFont="1" applyFill="1" applyBorder="1" applyAlignment="1" applyProtection="1">
      <alignment horizontal="center"/>
    </xf>
    <xf numFmtId="166" fontId="30" fillId="4" borderId="15" xfId="2" applyNumberFormat="1" applyFont="1" applyFill="1" applyBorder="1" applyAlignment="1" applyProtection="1">
      <alignment horizontal="center"/>
    </xf>
    <xf numFmtId="166" fontId="30" fillId="0" borderId="49" xfId="6" applyNumberFormat="1" applyFont="1" applyBorder="1" applyAlignment="1" applyProtection="1">
      <alignment horizontal="center"/>
      <protection locked="0"/>
    </xf>
    <xf numFmtId="166" fontId="30" fillId="0" borderId="50" xfId="2" applyNumberFormat="1" applyFont="1" applyBorder="1" applyAlignment="1" applyProtection="1">
      <alignment horizontal="center"/>
      <protection locked="0"/>
    </xf>
    <xf numFmtId="166" fontId="30" fillId="0" borderId="50" xfId="6" applyNumberFormat="1" applyFont="1" applyBorder="1" applyAlignment="1" applyProtection="1">
      <alignment horizontal="center"/>
      <protection locked="0"/>
    </xf>
    <xf numFmtId="166" fontId="30" fillId="0" borderId="15" xfId="6" applyNumberFormat="1" applyFont="1" applyBorder="1" applyAlignment="1" applyProtection="1">
      <alignment horizontal="center"/>
      <protection locked="0"/>
    </xf>
    <xf numFmtId="166" fontId="10" fillId="2" borderId="49" xfId="2" applyNumberFormat="1" applyFont="1" applyFill="1" applyBorder="1" applyAlignment="1" applyProtection="1">
      <alignment horizontal="center"/>
      <protection locked="0"/>
    </xf>
    <xf numFmtId="166" fontId="10" fillId="2" borderId="49" xfId="6" applyNumberFormat="1" applyFont="1" applyFill="1" applyBorder="1" applyAlignment="1" applyProtection="1">
      <alignment horizontal="center"/>
      <protection locked="0"/>
    </xf>
    <xf numFmtId="166" fontId="10" fillId="0" borderId="49" xfId="6" applyNumberFormat="1" applyFont="1" applyBorder="1" applyAlignment="1" applyProtection="1">
      <alignment horizontal="center"/>
      <protection locked="0"/>
    </xf>
    <xf numFmtId="166" fontId="10" fillId="0" borderId="50" xfId="2" applyNumberFormat="1" applyFont="1" applyBorder="1" applyAlignment="1" applyProtection="1">
      <alignment horizontal="center"/>
      <protection locked="0"/>
    </xf>
    <xf numFmtId="166" fontId="10" fillId="0" borderId="50" xfId="6" applyNumberFormat="1" applyFont="1" applyBorder="1" applyAlignment="1" applyProtection="1">
      <alignment horizontal="center"/>
      <protection locked="0"/>
    </xf>
    <xf numFmtId="166" fontId="10" fillId="0" borderId="15" xfId="6" applyNumberFormat="1" applyFont="1" applyBorder="1" applyAlignment="1" applyProtection="1">
      <alignment horizontal="center"/>
      <protection locked="0"/>
    </xf>
    <xf numFmtId="166" fontId="30" fillId="4" borderId="50" xfId="2" applyNumberFormat="1" applyFont="1" applyFill="1" applyBorder="1" applyAlignment="1" applyProtection="1">
      <alignment horizontal="center"/>
      <protection locked="0"/>
    </xf>
    <xf numFmtId="166" fontId="30" fillId="4" borderId="15" xfId="2" applyNumberFormat="1" applyFont="1" applyFill="1" applyBorder="1" applyAlignment="1" applyProtection="1">
      <alignment horizontal="center"/>
      <protection locked="0"/>
    </xf>
    <xf numFmtId="10" fontId="3" fillId="0" borderId="0" xfId="0" applyNumberFormat="1" applyFont="1"/>
    <xf numFmtId="0" fontId="28" fillId="0" borderId="0" xfId="0" applyFont="1" applyFill="1" applyAlignment="1">
      <alignment vertical="center"/>
    </xf>
    <xf numFmtId="0" fontId="35" fillId="0" borderId="0" xfId="0" applyFont="1"/>
    <xf numFmtId="0" fontId="31" fillId="0" borderId="0" xfId="0" applyFont="1" applyFill="1" applyAlignment="1">
      <alignment vertical="center"/>
    </xf>
    <xf numFmtId="0" fontId="45" fillId="0" borderId="0" xfId="0" applyFont="1" applyFill="1" applyAlignment="1">
      <alignment horizontal="left" vertical="center"/>
    </xf>
    <xf numFmtId="0" fontId="46" fillId="0" borderId="0" xfId="0" applyFont="1" applyAlignment="1">
      <alignment vertical="top" wrapText="1"/>
    </xf>
    <xf numFmtId="0" fontId="47" fillId="0" borderId="0" xfId="0" applyFont="1"/>
    <xf numFmtId="3" fontId="3" fillId="0" borderId="9" xfId="0" applyNumberFormat="1" applyFont="1" applyBorder="1"/>
    <xf numFmtId="172" fontId="3" fillId="0" borderId="0" xfId="0" applyNumberFormat="1" applyFont="1" applyBorder="1" applyAlignment="1">
      <alignment horizontal="center"/>
    </xf>
    <xf numFmtId="0" fontId="3" fillId="0" borderId="0" xfId="0" applyFont="1" applyAlignment="1">
      <alignment vertical="top" wrapText="1"/>
    </xf>
    <xf numFmtId="165" fontId="3" fillId="0" borderId="0" xfId="1" applyNumberFormat="1" applyFont="1"/>
    <xf numFmtId="1" fontId="3" fillId="0" borderId="0" xfId="0" applyNumberFormat="1" applyFont="1"/>
    <xf numFmtId="0" fontId="36" fillId="4" borderId="0" xfId="0" applyFont="1" applyFill="1"/>
    <xf numFmtId="0" fontId="36" fillId="0" borderId="0" xfId="0" applyFont="1" applyFill="1" applyBorder="1"/>
    <xf numFmtId="0" fontId="0" fillId="0" borderId="16" xfId="0" applyBorder="1"/>
    <xf numFmtId="0" fontId="0" fillId="0" borderId="0" xfId="0" applyBorder="1" applyAlignment="1"/>
    <xf numFmtId="0" fontId="0" fillId="0" borderId="9" xfId="0" applyBorder="1" applyAlignment="1"/>
    <xf numFmtId="0" fontId="0" fillId="0" borderId="10" xfId="0" applyBorder="1" applyAlignment="1">
      <alignment horizontal="right"/>
    </xf>
    <xf numFmtId="0" fontId="0" fillId="0" borderId="9" xfId="0" applyBorder="1" applyAlignment="1">
      <alignment horizontal="right"/>
    </xf>
    <xf numFmtId="0" fontId="31" fillId="4" borderId="0" xfId="0" applyFont="1" applyFill="1"/>
    <xf numFmtId="0" fontId="48" fillId="0" borderId="0" xfId="0" applyFont="1" applyAlignment="1">
      <alignment vertical="top" wrapText="1"/>
    </xf>
    <xf numFmtId="0" fontId="48" fillId="0" borderId="0" xfId="0" applyFont="1"/>
    <xf numFmtId="0" fontId="36" fillId="0" borderId="0" xfId="0" applyFont="1"/>
    <xf numFmtId="0" fontId="48" fillId="0" borderId="0" xfId="0" applyFont="1" applyFill="1"/>
    <xf numFmtId="0" fontId="49" fillId="0" borderId="0" xfId="0" applyFont="1"/>
    <xf numFmtId="10" fontId="3" fillId="0" borderId="0" xfId="1" applyNumberFormat="1" applyFont="1"/>
    <xf numFmtId="0" fontId="33" fillId="0" borderId="10" xfId="0" applyFont="1" applyBorder="1"/>
    <xf numFmtId="0" fontId="3" fillId="0" borderId="13" xfId="0" applyFont="1" applyBorder="1"/>
    <xf numFmtId="0" fontId="4" fillId="0" borderId="0" xfId="0" applyFont="1" applyFill="1" applyAlignment="1">
      <alignment horizontal="left" vertical="center"/>
    </xf>
    <xf numFmtId="0" fontId="4" fillId="0" borderId="0" xfId="0" applyFont="1" applyFill="1" applyAlignment="1">
      <alignment vertical="center"/>
    </xf>
    <xf numFmtId="0" fontId="31" fillId="0" borderId="9" xfId="0" applyFont="1" applyBorder="1" applyAlignment="1">
      <alignment horizontal="center"/>
    </xf>
    <xf numFmtId="0" fontId="31" fillId="0" borderId="9" xfId="0" applyFont="1" applyBorder="1"/>
    <xf numFmtId="0" fontId="3" fillId="0" borderId="0" xfId="0" applyFont="1" applyAlignment="1">
      <alignment horizontal="left"/>
    </xf>
    <xf numFmtId="0" fontId="3" fillId="0" borderId="9" xfId="0" applyFont="1" applyBorder="1" applyAlignment="1">
      <alignment horizontal="center" wrapText="1"/>
    </xf>
    <xf numFmtId="0" fontId="10" fillId="0" borderId="9" xfId="0" applyFont="1" applyBorder="1" applyAlignment="1">
      <alignment horizontal="center"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9" xfId="0" applyFont="1" applyBorder="1" applyAlignment="1">
      <alignment vertical="center"/>
    </xf>
    <xf numFmtId="0" fontId="3" fillId="0" borderId="10" xfId="0" applyFont="1" applyBorder="1" applyAlignment="1">
      <alignment vertical="center"/>
    </xf>
    <xf numFmtId="10" fontId="0" fillId="0" borderId="9" xfId="0" applyNumberFormat="1" applyBorder="1" applyAlignment="1"/>
    <xf numFmtId="10" fontId="0" fillId="0" borderId="10" xfId="0" applyNumberFormat="1" applyBorder="1" applyAlignment="1"/>
    <xf numFmtId="0" fontId="3" fillId="0" borderId="13" xfId="0" applyFont="1" applyBorder="1" applyAlignment="1">
      <alignment vertical="center" wrapText="1"/>
    </xf>
    <xf numFmtId="0" fontId="49" fillId="0" borderId="0" xfId="0" applyFont="1" applyBorder="1"/>
    <xf numFmtId="0" fontId="0" fillId="0" borderId="14" xfId="0" applyBorder="1" applyAlignment="1">
      <alignment horizontal="center"/>
    </xf>
    <xf numFmtId="0" fontId="0" fillId="0" borderId="16" xfId="0" applyBorder="1" applyAlignment="1">
      <alignment horizontal="center"/>
    </xf>
    <xf numFmtId="0" fontId="0" fillId="0" borderId="14" xfId="0" applyFill="1" applyBorder="1" applyAlignment="1">
      <alignment horizontal="center"/>
    </xf>
    <xf numFmtId="0" fontId="0" fillId="0" borderId="16" xfId="0" applyFill="1" applyBorder="1" applyAlignment="1">
      <alignment horizontal="center"/>
    </xf>
    <xf numFmtId="0" fontId="0" fillId="0" borderId="11" xfId="0" applyBorder="1"/>
    <xf numFmtId="0" fontId="0" fillId="0" borderId="34" xfId="0" applyBorder="1"/>
    <xf numFmtId="10" fontId="0" fillId="0" borderId="9" xfId="1" applyNumberFormat="1" applyFont="1" applyBorder="1"/>
    <xf numFmtId="0" fontId="0" fillId="0" borderId="30" xfId="0" applyBorder="1" applyAlignment="1">
      <alignment horizontal="center"/>
    </xf>
    <xf numFmtId="1" fontId="0" fillId="0" borderId="34" xfId="0" applyNumberFormat="1" applyBorder="1"/>
    <xf numFmtId="1" fontId="0" fillId="0" borderId="30" xfId="0" applyNumberFormat="1" applyBorder="1"/>
    <xf numFmtId="1" fontId="0" fillId="0" borderId="9" xfId="0" applyNumberFormat="1" applyBorder="1"/>
    <xf numFmtId="1" fontId="0" fillId="0" borderId="0" xfId="0" applyNumberFormat="1" applyBorder="1"/>
    <xf numFmtId="0" fontId="44" fillId="0" borderId="40" xfId="0" applyFont="1" applyBorder="1"/>
    <xf numFmtId="1" fontId="0" fillId="0" borderId="40" xfId="0" applyNumberFormat="1" applyBorder="1"/>
    <xf numFmtId="2" fontId="44" fillId="0" borderId="9" xfId="0" applyNumberFormat="1" applyFont="1" applyBorder="1"/>
    <xf numFmtId="2" fontId="0" fillId="0" borderId="9" xfId="0" applyNumberFormat="1" applyBorder="1"/>
    <xf numFmtId="173" fontId="3" fillId="0" borderId="9" xfId="0" applyNumberFormat="1" applyFont="1" applyBorder="1"/>
    <xf numFmtId="2" fontId="3" fillId="0" borderId="9" xfId="0" applyNumberFormat="1" applyFont="1" applyFill="1" applyBorder="1"/>
    <xf numFmtId="0" fontId="3" fillId="0" borderId="11" xfId="0" applyFont="1" applyBorder="1"/>
    <xf numFmtId="174" fontId="3" fillId="0" borderId="9" xfId="0" applyNumberFormat="1" applyFont="1" applyBorder="1"/>
    <xf numFmtId="0" fontId="3" fillId="0" borderId="11" xfId="0" applyFont="1" applyFill="1" applyBorder="1"/>
    <xf numFmtId="2" fontId="3" fillId="0" borderId="0" xfId="0" applyNumberFormat="1" applyFont="1"/>
    <xf numFmtId="2" fontId="3" fillId="0" borderId="0" xfId="0" applyNumberFormat="1" applyFont="1" applyFill="1"/>
    <xf numFmtId="0" fontId="3" fillId="0" borderId="0" xfId="0" applyFont="1" applyAlignment="1">
      <alignment horizontal="right"/>
    </xf>
    <xf numFmtId="2" fontId="3" fillId="0" borderId="0" xfId="0" applyNumberFormat="1" applyFont="1" applyFill="1" applyAlignment="1">
      <alignment horizontal="center" vertical="center"/>
    </xf>
    <xf numFmtId="2" fontId="3" fillId="0" borderId="0" xfId="0" applyNumberFormat="1" applyFont="1" applyFill="1" applyAlignment="1">
      <alignment horizontal="center" vertical="center" wrapText="1"/>
    </xf>
    <xf numFmtId="0" fontId="0" fillId="0" borderId="17" xfId="0" applyFill="1" applyBorder="1" applyAlignment="1"/>
    <xf numFmtId="0" fontId="0" fillId="0" borderId="9" xfId="0" applyFont="1" applyFill="1" applyBorder="1" applyAlignment="1">
      <alignment horizontal="center"/>
    </xf>
    <xf numFmtId="0" fontId="8" fillId="0" borderId="0" xfId="0" applyFont="1" applyBorder="1"/>
    <xf numFmtId="0" fontId="0" fillId="0" borderId="0" xfId="0" applyAlignment="1">
      <alignment wrapText="1"/>
    </xf>
    <xf numFmtId="0" fontId="3" fillId="0" borderId="0" xfId="0" applyFont="1" applyAlignment="1"/>
    <xf numFmtId="0" fontId="0" fillId="0" borderId="0" xfId="0" applyFont="1"/>
    <xf numFmtId="0" fontId="0" fillId="0" borderId="11" xfId="0" applyFont="1" applyFill="1" applyBorder="1" applyAlignment="1">
      <alignment horizontal="center"/>
    </xf>
    <xf numFmtId="0" fontId="0" fillId="0" borderId="21" xfId="0" applyBorder="1"/>
    <xf numFmtId="0" fontId="0" fillId="0" borderId="18" xfId="0" applyBorder="1"/>
    <xf numFmtId="0" fontId="0" fillId="0" borderId="0" xfId="0" applyAlignment="1">
      <alignment horizontal="left" vertical="top"/>
    </xf>
    <xf numFmtId="0" fontId="0" fillId="0" borderId="9" xfId="0" applyBorder="1" applyAlignment="1">
      <alignment horizontal="left" vertical="top"/>
    </xf>
    <xf numFmtId="1" fontId="0" fillId="0" borderId="30" xfId="0" applyNumberFormat="1" applyBorder="1" applyAlignment="1"/>
    <xf numFmtId="0" fontId="0" fillId="0" borderId="34" xfId="0" applyFont="1" applyBorder="1"/>
    <xf numFmtId="0" fontId="0" fillId="0" borderId="9" xfId="0" applyFont="1" applyBorder="1"/>
    <xf numFmtId="0" fontId="50" fillId="0" borderId="9" xfId="0" applyFont="1" applyBorder="1"/>
    <xf numFmtId="0" fontId="50" fillId="0" borderId="9" xfId="0" applyFont="1" applyFill="1" applyBorder="1"/>
    <xf numFmtId="0" fontId="50" fillId="0" borderId="0" xfId="0" applyFont="1" applyFill="1" applyBorder="1"/>
    <xf numFmtId="1" fontId="3" fillId="0" borderId="9" xfId="0" applyNumberFormat="1" applyFont="1" applyBorder="1"/>
    <xf numFmtId="0" fontId="51" fillId="0" borderId="9" xfId="0" applyFont="1" applyBorder="1"/>
    <xf numFmtId="0" fontId="51" fillId="0" borderId="9" xfId="0" applyFont="1" applyFill="1" applyBorder="1"/>
    <xf numFmtId="0" fontId="3" fillId="0" borderId="0" xfId="0" applyFont="1" applyFill="1" applyBorder="1" applyAlignment="1">
      <alignment vertical="center"/>
    </xf>
    <xf numFmtId="1" fontId="3" fillId="2" borderId="34" xfId="0" applyNumberFormat="1" applyFont="1" applyFill="1" applyBorder="1" applyAlignment="1">
      <alignment horizontal="center"/>
    </xf>
    <xf numFmtId="1" fontId="0" fillId="0" borderId="9" xfId="0" applyNumberFormat="1" applyFont="1" applyBorder="1"/>
    <xf numFmtId="0" fontId="8" fillId="0" borderId="0" xfId="0" applyFont="1" applyFill="1" applyBorder="1" applyAlignment="1">
      <alignment horizontal="left"/>
    </xf>
    <xf numFmtId="0" fontId="5" fillId="0" borderId="0" xfId="0" applyFont="1" applyFill="1" applyAlignment="1">
      <alignment horizontal="left" vertical="center"/>
    </xf>
    <xf numFmtId="0" fontId="52" fillId="0" borderId="0" xfId="3" applyFont="1"/>
    <xf numFmtId="0" fontId="7" fillId="0" borderId="0" xfId="3"/>
    <xf numFmtId="0" fontId="53" fillId="0" borderId="18" xfId="3" applyFont="1" applyFill="1" applyBorder="1"/>
    <xf numFmtId="0" fontId="52" fillId="0" borderId="18" xfId="3" applyFont="1" applyFill="1" applyBorder="1" applyAlignment="1">
      <alignment horizontal="right"/>
    </xf>
    <xf numFmtId="167" fontId="54" fillId="0" borderId="18" xfId="3" applyNumberFormat="1" applyFont="1" applyFill="1" applyBorder="1" applyAlignment="1">
      <alignment horizontal="left"/>
    </xf>
    <xf numFmtId="0" fontId="53" fillId="0" borderId="0" xfId="3" applyFont="1" applyFill="1" applyBorder="1"/>
    <xf numFmtId="0" fontId="52" fillId="0" borderId="0" xfId="3" applyFont="1" applyFill="1" applyBorder="1"/>
    <xf numFmtId="0" fontId="52" fillId="0" borderId="0" xfId="3" applyFont="1" applyAlignment="1">
      <alignment horizontal="right"/>
    </xf>
    <xf numFmtId="0" fontId="53" fillId="2" borderId="11" xfId="4" applyNumberFormat="1" applyFont="1" applyFill="1" applyBorder="1" applyAlignment="1">
      <alignment horizontal="left"/>
    </xf>
    <xf numFmtId="4" fontId="52" fillId="0" borderId="0" xfId="3" applyNumberFormat="1" applyFont="1" applyBorder="1" applyAlignment="1">
      <alignment horizontal="right"/>
    </xf>
    <xf numFmtId="14" fontId="52" fillId="0" borderId="0" xfId="3" applyNumberFormat="1" applyFont="1" applyFill="1" applyBorder="1" applyAlignment="1" applyProtection="1">
      <alignment horizontal="left"/>
      <protection locked="0"/>
    </xf>
    <xf numFmtId="10" fontId="53" fillId="2" borderId="11" xfId="3" applyNumberFormat="1" applyFont="1" applyFill="1" applyBorder="1" applyAlignment="1">
      <alignment horizontal="left"/>
    </xf>
    <xf numFmtId="164" fontId="52" fillId="0" borderId="0" xfId="1" applyNumberFormat="1" applyFont="1" applyBorder="1" applyAlignment="1">
      <alignment horizontal="right"/>
    </xf>
    <xf numFmtId="0" fontId="53" fillId="0" borderId="0" xfId="3" applyFont="1" applyFill="1" applyBorder="1" applyAlignment="1" applyProtection="1">
      <alignment horizontal="left"/>
      <protection locked="0"/>
    </xf>
    <xf numFmtId="1" fontId="53" fillId="2" borderId="11" xfId="3" applyNumberFormat="1" applyFont="1" applyFill="1" applyBorder="1" applyAlignment="1">
      <alignment horizontal="left"/>
    </xf>
    <xf numFmtId="4" fontId="52" fillId="0" borderId="0" xfId="3" applyNumberFormat="1" applyFont="1"/>
    <xf numFmtId="14" fontId="53" fillId="2" borderId="11" xfId="3" applyNumberFormat="1" applyFont="1" applyFill="1" applyBorder="1" applyAlignment="1">
      <alignment horizontal="left"/>
    </xf>
    <xf numFmtId="0" fontId="7" fillId="0" borderId="0" xfId="3" applyAlignment="1">
      <alignment horizontal="right"/>
    </xf>
    <xf numFmtId="0" fontId="7" fillId="0" borderId="0" xfId="3" applyAlignment="1">
      <alignment horizontal="left"/>
    </xf>
    <xf numFmtId="4" fontId="55" fillId="0" borderId="0" xfId="3" applyNumberFormat="1" applyFont="1"/>
    <xf numFmtId="0" fontId="56" fillId="3" borderId="0" xfId="3" applyFont="1" applyFill="1"/>
    <xf numFmtId="0" fontId="53" fillId="0" borderId="14" xfId="3" applyFont="1" applyFill="1" applyBorder="1" applyAlignment="1">
      <alignment horizontal="center"/>
    </xf>
    <xf numFmtId="0" fontId="53" fillId="0" borderId="16" xfId="3" applyFont="1" applyFill="1" applyBorder="1" applyAlignment="1">
      <alignment horizontal="center"/>
    </xf>
    <xf numFmtId="1" fontId="52" fillId="0" borderId="9" xfId="3" applyNumberFormat="1" applyFont="1" applyBorder="1" applyAlignment="1">
      <alignment horizontal="center"/>
    </xf>
    <xf numFmtId="14" fontId="52" fillId="0" borderId="9" xfId="3" applyNumberFormat="1" applyFont="1" applyBorder="1" applyAlignment="1">
      <alignment horizontal="center"/>
    </xf>
    <xf numFmtId="4" fontId="52" fillId="0" borderId="9" xfId="3" applyNumberFormat="1" applyFont="1" applyBorder="1" applyAlignment="1">
      <alignment horizontal="center"/>
    </xf>
    <xf numFmtId="4" fontId="0" fillId="0" borderId="0" xfId="0" applyNumberFormat="1"/>
    <xf numFmtId="0" fontId="7" fillId="0" borderId="0" xfId="3" applyAlignment="1">
      <alignment horizontal="center"/>
    </xf>
    <xf numFmtId="1" fontId="53" fillId="0" borderId="14" xfId="3" applyNumberFormat="1" applyFont="1" applyFill="1" applyBorder="1" applyAlignment="1">
      <alignment horizontal="center" vertical="center"/>
    </xf>
    <xf numFmtId="1" fontId="53" fillId="0" borderId="16" xfId="3" applyNumberFormat="1" applyFont="1" applyFill="1" applyBorder="1" applyAlignment="1">
      <alignment horizontal="center" vertical="center"/>
    </xf>
    <xf numFmtId="0" fontId="5" fillId="4" borderId="0" xfId="0" applyFont="1" applyFill="1" applyAlignment="1">
      <alignment vertical="center"/>
    </xf>
    <xf numFmtId="3" fontId="0" fillId="0" borderId="9" xfId="0" applyNumberFormat="1" applyBorder="1"/>
    <xf numFmtId="17" fontId="3" fillId="0" borderId="0" xfId="0" applyNumberFormat="1" applyFont="1"/>
    <xf numFmtId="172" fontId="3" fillId="0" borderId="0" xfId="0" applyNumberFormat="1" applyFont="1"/>
    <xf numFmtId="0" fontId="3" fillId="0" borderId="15" xfId="0" applyFont="1" applyFill="1" applyBorder="1"/>
    <xf numFmtId="172" fontId="3" fillId="0" borderId="9" xfId="0" applyNumberFormat="1" applyFont="1" applyFill="1" applyBorder="1"/>
    <xf numFmtId="0" fontId="3" fillId="0" borderId="30" xfId="0" applyFont="1" applyBorder="1" applyAlignment="1">
      <alignment horizontal="center"/>
    </xf>
    <xf numFmtId="1" fontId="3" fillId="0" borderId="34" xfId="0" applyNumberFormat="1" applyFont="1" applyBorder="1"/>
    <xf numFmtId="1" fontId="3" fillId="0" borderId="30" xfId="0" applyNumberFormat="1" applyFont="1" applyBorder="1"/>
    <xf numFmtId="0" fontId="3" fillId="0" borderId="34" xfId="0" applyFont="1" applyBorder="1"/>
    <xf numFmtId="0" fontId="17" fillId="0" borderId="34" xfId="0" applyFont="1" applyBorder="1"/>
    <xf numFmtId="1" fontId="3" fillId="0" borderId="0" xfId="0" applyNumberFormat="1" applyFont="1" applyBorder="1"/>
    <xf numFmtId="1" fontId="3" fillId="0" borderId="0" xfId="0" applyNumberFormat="1" applyFont="1" applyFill="1" applyBorder="1"/>
    <xf numFmtId="0" fontId="3" fillId="0" borderId="0" xfId="0" applyFont="1" applyFill="1" applyBorder="1" applyAlignment="1">
      <alignment vertical="top"/>
    </xf>
    <xf numFmtId="0" fontId="3" fillId="0" borderId="0" xfId="0" applyFont="1" applyFill="1" applyBorder="1" applyAlignment="1">
      <alignment vertical="top" wrapText="1"/>
    </xf>
    <xf numFmtId="0" fontId="31" fillId="0" borderId="0" xfId="0" applyFont="1"/>
    <xf numFmtId="0" fontId="57" fillId="0" borderId="0" xfId="0" applyFont="1"/>
    <xf numFmtId="0" fontId="12" fillId="0" borderId="0" xfId="0" applyFont="1" applyAlignment="1">
      <alignment horizontal="left"/>
    </xf>
    <xf numFmtId="1" fontId="31" fillId="0" borderId="0" xfId="0" applyNumberFormat="1" applyFont="1"/>
    <xf numFmtId="0" fontId="3" fillId="0" borderId="13" xfId="0" applyFont="1" applyFill="1" applyBorder="1" applyAlignment="1">
      <alignment horizontal="center"/>
    </xf>
    <xf numFmtId="0" fontId="3" fillId="0" borderId="13" xfId="0" applyFont="1" applyFill="1" applyBorder="1"/>
    <xf numFmtId="0" fontId="0" fillId="0" borderId="10" xfId="0" applyFill="1" applyBorder="1"/>
    <xf numFmtId="0" fontId="3" fillId="0" borderId="19" xfId="0" applyFont="1" applyFill="1" applyBorder="1"/>
    <xf numFmtId="0" fontId="3" fillId="0" borderId="12" xfId="0" applyFont="1" applyFill="1" applyBorder="1"/>
    <xf numFmtId="0" fontId="3" fillId="0" borderId="20" xfId="0" applyFont="1" applyBorder="1"/>
    <xf numFmtId="0" fontId="3" fillId="0" borderId="21" xfId="0" applyFont="1" applyBorder="1"/>
    <xf numFmtId="0" fontId="3" fillId="0" borderId="14" xfId="0" applyFont="1" applyBorder="1"/>
    <xf numFmtId="0" fontId="3" fillId="0" borderId="16" xfId="0" applyFont="1" applyBorder="1"/>
    <xf numFmtId="0" fontId="3" fillId="0" borderId="22" xfId="0" applyFont="1" applyBorder="1"/>
    <xf numFmtId="0" fontId="3" fillId="0" borderId="12" xfId="0" applyFont="1" applyBorder="1"/>
    <xf numFmtId="0" fontId="3" fillId="0" borderId="23" xfId="0" applyFont="1" applyBorder="1"/>
    <xf numFmtId="10" fontId="3" fillId="0" borderId="14" xfId="0" applyNumberFormat="1" applyFont="1" applyBorder="1"/>
    <xf numFmtId="9" fontId="3" fillId="0" borderId="15" xfId="0" applyNumberFormat="1" applyFont="1" applyBorder="1"/>
    <xf numFmtId="9" fontId="3" fillId="0" borderId="16" xfId="0" applyNumberFormat="1" applyFont="1" applyBorder="1"/>
    <xf numFmtId="0" fontId="3" fillId="0" borderId="0" xfId="0" applyFont="1" applyAlignment="1">
      <alignment horizontal="center" wrapText="1"/>
    </xf>
    <xf numFmtId="0" fontId="0" fillId="0" borderId="23" xfId="0" applyBorder="1"/>
    <xf numFmtId="1" fontId="0" fillId="0" borderId="9" xfId="0" applyNumberFormat="1" applyBorder="1" applyAlignment="1"/>
    <xf numFmtId="1" fontId="0" fillId="0" borderId="10" xfId="0" applyNumberFormat="1" applyBorder="1" applyAlignment="1"/>
    <xf numFmtId="2" fontId="3" fillId="0" borderId="19" xfId="0" applyNumberFormat="1" applyFont="1" applyBorder="1" applyAlignment="1">
      <alignment vertical="center" wrapText="1"/>
    </xf>
    <xf numFmtId="0" fontId="3" fillId="3" borderId="0" xfId="0" applyFont="1" applyFill="1"/>
    <xf numFmtId="0" fontId="58" fillId="0" borderId="0" xfId="0" applyFont="1"/>
    <xf numFmtId="1" fontId="34" fillId="0" borderId="0" xfId="0" applyNumberFormat="1" applyFont="1" applyAlignment="1">
      <alignment horizontal="right"/>
    </xf>
    <xf numFmtId="2" fontId="3" fillId="0" borderId="0" xfId="0" applyNumberFormat="1" applyFont="1" applyAlignment="1">
      <alignment horizontal="right"/>
    </xf>
    <xf numFmtId="0" fontId="59" fillId="0" borderId="9" xfId="0" applyFont="1" applyBorder="1" applyAlignment="1">
      <alignment horizontal="center"/>
    </xf>
    <xf numFmtId="0" fontId="0" fillId="0" borderId="0" xfId="0" applyAlignment="1"/>
    <xf numFmtId="0" fontId="17" fillId="0" borderId="9" xfId="0" applyFont="1" applyBorder="1"/>
    <xf numFmtId="1" fontId="2" fillId="0" borderId="0" xfId="0" applyNumberFormat="1" applyFont="1" applyBorder="1"/>
    <xf numFmtId="0" fontId="2" fillId="0" borderId="0" xfId="0" applyFont="1" applyBorder="1"/>
    <xf numFmtId="1" fontId="2" fillId="0" borderId="11" xfId="0" applyNumberFormat="1" applyFont="1" applyFill="1" applyBorder="1"/>
    <xf numFmtId="1" fontId="0" fillId="0" borderId="0" xfId="0" applyNumberFormat="1" applyFont="1" applyBorder="1"/>
    <xf numFmtId="1" fontId="0" fillId="0" borderId="0" xfId="0" applyNumberFormat="1" applyFont="1"/>
    <xf numFmtId="2" fontId="0" fillId="0" borderId="0" xfId="0" applyNumberFormat="1" applyFont="1" applyBorder="1"/>
    <xf numFmtId="0" fontId="9" fillId="5" borderId="10" xfId="0" applyFont="1" applyFill="1" applyBorder="1" applyAlignment="1">
      <alignment horizontal="right"/>
    </xf>
    <xf numFmtId="1" fontId="9" fillId="5" borderId="19" xfId="0" applyNumberFormat="1" applyFont="1" applyFill="1" applyBorder="1"/>
    <xf numFmtId="0" fontId="60" fillId="5" borderId="10" xfId="0" applyFont="1" applyFill="1" applyBorder="1"/>
    <xf numFmtId="1" fontId="9" fillId="5" borderId="13" xfId="0" applyNumberFormat="1" applyFont="1" applyFill="1" applyBorder="1"/>
    <xf numFmtId="2" fontId="9" fillId="5" borderId="19" xfId="0" applyNumberFormat="1" applyFont="1" applyFill="1" applyBorder="1" applyAlignment="1">
      <alignment horizontal="left"/>
    </xf>
    <xf numFmtId="0" fontId="9" fillId="5" borderId="20" xfId="0" applyFont="1" applyFill="1" applyBorder="1"/>
    <xf numFmtId="0" fontId="9" fillId="5" borderId="17" xfId="0" applyFont="1" applyFill="1" applyBorder="1"/>
    <xf numFmtId="0" fontId="9" fillId="5" borderId="22" xfId="0" applyFont="1" applyFill="1" applyBorder="1" applyAlignment="1">
      <alignment horizontal="left"/>
    </xf>
    <xf numFmtId="0" fontId="9" fillId="5" borderId="21" xfId="0" applyFont="1" applyFill="1" applyBorder="1"/>
    <xf numFmtId="0" fontId="9" fillId="5" borderId="18" xfId="0" applyFont="1" applyFill="1" applyBorder="1"/>
    <xf numFmtId="0" fontId="9" fillId="5" borderId="23" xfId="0" applyFont="1" applyFill="1" applyBorder="1" applyAlignment="1">
      <alignment horizontal="left"/>
    </xf>
    <xf numFmtId="0" fontId="9" fillId="5" borderId="0" xfId="0" applyFont="1" applyFill="1"/>
    <xf numFmtId="1" fontId="9" fillId="5" borderId="0" xfId="0" applyNumberFormat="1" applyFont="1" applyFill="1"/>
    <xf numFmtId="0" fontId="0" fillId="5" borderId="0" xfId="0" applyFill="1"/>
    <xf numFmtId="0" fontId="0" fillId="0" borderId="0" xfId="0" applyFill="1" applyBorder="1" applyAlignment="1"/>
    <xf numFmtId="0" fontId="9" fillId="5" borderId="22" xfId="0" applyFont="1" applyFill="1" applyBorder="1"/>
    <xf numFmtId="0" fontId="9" fillId="5" borderId="23" xfId="0" applyFont="1" applyFill="1" applyBorder="1"/>
    <xf numFmtId="175" fontId="0" fillId="0" borderId="9" xfId="0" applyNumberFormat="1" applyBorder="1"/>
    <xf numFmtId="1" fontId="9" fillId="5" borderId="19" xfId="0" applyNumberFormat="1" applyFont="1" applyFill="1" applyBorder="1" applyAlignment="1">
      <alignment wrapText="1"/>
    </xf>
    <xf numFmtId="0" fontId="9" fillId="5" borderId="10" xfId="0" applyFont="1" applyFill="1" applyBorder="1"/>
    <xf numFmtId="0" fontId="9" fillId="5" borderId="13" xfId="0" applyFont="1" applyFill="1" applyBorder="1"/>
    <xf numFmtId="0" fontId="0" fillId="0" borderId="0" xfId="0" applyFill="1" applyBorder="1" applyAlignment="1">
      <alignment wrapText="1"/>
    </xf>
    <xf numFmtId="175" fontId="3" fillId="0" borderId="14" xfId="0" applyNumberFormat="1" applyFont="1" applyFill="1" applyBorder="1"/>
    <xf numFmtId="0" fontId="3" fillId="0" borderId="15" xfId="0" applyFont="1" applyBorder="1"/>
    <xf numFmtId="3" fontId="3" fillId="0" borderId="9" xfId="0" applyNumberFormat="1" applyFont="1" applyFill="1" applyBorder="1"/>
    <xf numFmtId="0" fontId="3" fillId="5" borderId="9" xfId="0" applyFont="1" applyFill="1" applyBorder="1"/>
    <xf numFmtId="0" fontId="0" fillId="5" borderId="14" xfId="0" applyFill="1" applyBorder="1"/>
    <xf numFmtId="0" fontId="3" fillId="5" borderId="15" xfId="0" applyFont="1" applyFill="1" applyBorder="1" applyAlignment="1">
      <alignment vertical="center" wrapText="1"/>
    </xf>
    <xf numFmtId="0" fontId="3" fillId="5" borderId="16" xfId="0" applyFont="1" applyFill="1" applyBorder="1" applyAlignment="1">
      <alignment vertical="center" wrapText="1"/>
    </xf>
    <xf numFmtId="9" fontId="3" fillId="5" borderId="14" xfId="0" applyNumberFormat="1" applyFont="1" applyFill="1" applyBorder="1" applyAlignment="1">
      <alignment horizontal="center"/>
    </xf>
    <xf numFmtId="0" fontId="0" fillId="5" borderId="15" xfId="0" applyFill="1" applyBorder="1"/>
    <xf numFmtId="0" fontId="3" fillId="5" borderId="16" xfId="0" applyFont="1" applyFill="1" applyBorder="1"/>
    <xf numFmtId="0" fontId="3" fillId="5" borderId="14" xfId="0" applyFont="1" applyFill="1" applyBorder="1"/>
    <xf numFmtId="0" fontId="3" fillId="0" borderId="19" xfId="0" applyFont="1" applyBorder="1" applyAlignment="1">
      <alignment vertical="center" wrapText="1"/>
    </xf>
    <xf numFmtId="0" fontId="3" fillId="0" borderId="9" xfId="0" applyFont="1" applyBorder="1" applyAlignment="1">
      <alignment horizontal="center"/>
    </xf>
    <xf numFmtId="0" fontId="3" fillId="0" borderId="10" xfId="0" applyFont="1" applyFill="1" applyBorder="1" applyAlignment="1">
      <alignment horizontal="center"/>
    </xf>
    <xf numFmtId="0" fontId="3" fillId="0" borderId="20" xfId="0" applyFont="1" applyFill="1" applyBorder="1" applyAlignment="1">
      <alignment horizontal="center"/>
    </xf>
    <xf numFmtId="0" fontId="3" fillId="0" borderId="9" xfId="0" applyFont="1" applyBorder="1" applyAlignment="1">
      <alignment horizontal="left"/>
    </xf>
    <xf numFmtId="0" fontId="3" fillId="0" borderId="9" xfId="0" applyFont="1" applyBorder="1" applyAlignment="1"/>
    <xf numFmtId="0" fontId="3" fillId="0" borderId="9" xfId="0" applyFont="1" applyFill="1" applyBorder="1" applyAlignment="1">
      <alignment horizontal="left"/>
    </xf>
    <xf numFmtId="0" fontId="3" fillId="0" borderId="0" xfId="6" applyFont="1" applyBorder="1" applyAlignment="1" applyProtection="1">
      <alignment horizontal="left"/>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Border="1" applyAlignment="1">
      <alignment horizontal="center" vertical="center" wrapText="1"/>
    </xf>
    <xf numFmtId="0" fontId="31" fillId="5" borderId="10" xfId="0" applyFont="1" applyFill="1" applyBorder="1" applyAlignment="1">
      <alignment horizontal="right"/>
    </xf>
    <xf numFmtId="1" fontId="31" fillId="5" borderId="19" xfId="0" applyNumberFormat="1" applyFont="1" applyFill="1" applyBorder="1"/>
    <xf numFmtId="0" fontId="31" fillId="5" borderId="20" xfId="0" applyFont="1" applyFill="1" applyBorder="1"/>
    <xf numFmtId="1" fontId="31" fillId="5" borderId="22" xfId="0" applyNumberFormat="1" applyFont="1" applyFill="1" applyBorder="1"/>
    <xf numFmtId="0" fontId="31" fillId="5" borderId="21" xfId="0" applyFont="1" applyFill="1" applyBorder="1"/>
    <xf numFmtId="1" fontId="31" fillId="5" borderId="23" xfId="0" applyNumberFormat="1" applyFont="1" applyFill="1" applyBorder="1"/>
    <xf numFmtId="0" fontId="3" fillId="0" borderId="9" xfId="0" applyFont="1" applyFill="1" applyBorder="1" applyAlignment="1">
      <alignment horizontal="center"/>
    </xf>
    <xf numFmtId="0" fontId="3" fillId="0" borderId="9" xfId="0" applyFont="1" applyBorder="1" applyAlignment="1">
      <alignment horizontal="center"/>
    </xf>
    <xf numFmtId="0" fontId="3" fillId="0" borderId="0" xfId="0" applyFont="1" applyBorder="1" applyAlignment="1">
      <alignment horizontal="left" vertical="center" wrapText="1"/>
    </xf>
    <xf numFmtId="0" fontId="3" fillId="0" borderId="40" xfId="0" applyFont="1" applyBorder="1" applyAlignment="1">
      <alignment horizontal="center"/>
    </xf>
    <xf numFmtId="0" fontId="2" fillId="0" borderId="9" xfId="0" applyFont="1" applyBorder="1"/>
    <xf numFmtId="1" fontId="2" fillId="0" borderId="9" xfId="0" applyNumberFormat="1" applyFont="1" applyBorder="1"/>
    <xf numFmtId="3" fontId="3" fillId="0" borderId="0" xfId="0" applyNumberFormat="1" applyFont="1" applyFill="1" applyBorder="1"/>
    <xf numFmtId="2" fontId="3" fillId="0" borderId="0" xfId="0" applyNumberFormat="1" applyFont="1" applyFill="1" applyBorder="1"/>
    <xf numFmtId="10" fontId="3" fillId="0" borderId="0" xfId="0" applyNumberFormat="1" applyFont="1" applyFill="1" applyBorder="1"/>
    <xf numFmtId="43" fontId="3" fillId="0" borderId="0" xfId="2" applyFont="1" applyFill="1" applyBorder="1"/>
    <xf numFmtId="0" fontId="31" fillId="3" borderId="0" xfId="0" applyFont="1" applyFill="1" applyAlignment="1">
      <alignment horizontal="left" vertical="center"/>
    </xf>
    <xf numFmtId="0" fontId="31" fillId="0" borderId="0" xfId="0" applyFont="1" applyFill="1" applyAlignment="1">
      <alignment horizontal="left" vertical="center"/>
    </xf>
    <xf numFmtId="1" fontId="3" fillId="0" borderId="9" xfId="0" applyNumberFormat="1" applyFont="1" applyBorder="1" applyAlignment="1">
      <alignment horizontal="left"/>
    </xf>
    <xf numFmtId="0" fontId="3" fillId="0" borderId="17" xfId="0" applyFont="1" applyFill="1" applyBorder="1" applyAlignment="1">
      <alignment horizontal="left"/>
    </xf>
    <xf numFmtId="10" fontId="3" fillId="0" borderId="22" xfId="0" applyNumberFormat="1" applyFont="1" applyFill="1" applyBorder="1" applyAlignment="1">
      <alignment horizontal="center"/>
    </xf>
    <xf numFmtId="0" fontId="3" fillId="0" borderId="13" xfId="0" applyFont="1" applyFill="1" applyBorder="1" applyAlignment="1">
      <alignment horizontal="left"/>
    </xf>
    <xf numFmtId="2" fontId="3" fillId="0" borderId="19" xfId="0" applyNumberFormat="1" applyFont="1" applyFill="1" applyBorder="1" applyAlignment="1">
      <alignment horizontal="center"/>
    </xf>
    <xf numFmtId="0" fontId="3" fillId="0" borderId="0" xfId="0" applyFont="1" applyAlignment="1">
      <alignment horizontal="right" indent="1"/>
    </xf>
    <xf numFmtId="0" fontId="31" fillId="0" borderId="14" xfId="0" applyFont="1" applyBorder="1" applyAlignment="1">
      <alignment horizontal="center"/>
    </xf>
    <xf numFmtId="0" fontId="3" fillId="4" borderId="10" xfId="0" applyFont="1" applyFill="1" applyBorder="1"/>
    <xf numFmtId="0" fontId="3" fillId="4" borderId="13" xfId="0" applyFont="1" applyFill="1" applyBorder="1"/>
    <xf numFmtId="0" fontId="3" fillId="4" borderId="19" xfId="0" applyFont="1" applyFill="1" applyBorder="1"/>
    <xf numFmtId="0" fontId="3" fillId="6" borderId="9" xfId="0" applyFont="1" applyFill="1" applyBorder="1"/>
    <xf numFmtId="1" fontId="3" fillId="6" borderId="9" xfId="0" applyNumberFormat="1" applyFont="1" applyFill="1" applyBorder="1"/>
    <xf numFmtId="1" fontId="3" fillId="4" borderId="13" xfId="0" applyNumberFormat="1" applyFont="1" applyFill="1" applyBorder="1"/>
    <xf numFmtId="1" fontId="3" fillId="4" borderId="19" xfId="0" applyNumberFormat="1" applyFont="1" applyFill="1" applyBorder="1"/>
    <xf numFmtId="0" fontId="3" fillId="4" borderId="9" xfId="0" applyFont="1" applyFill="1" applyBorder="1"/>
    <xf numFmtId="1" fontId="3" fillId="4" borderId="9" xfId="0" applyNumberFormat="1" applyFont="1" applyFill="1" applyBorder="1"/>
    <xf numFmtId="170" fontId="3" fillId="0" borderId="17" xfId="0" applyNumberFormat="1" applyFont="1" applyFill="1" applyBorder="1" applyAlignment="1">
      <alignment horizontal="center"/>
    </xf>
    <xf numFmtId="0" fontId="3" fillId="0" borderId="9"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Alignment="1">
      <alignment vertical="top"/>
    </xf>
    <xf numFmtId="0" fontId="12" fillId="0" borderId="0" xfId="0" applyFont="1" applyBorder="1"/>
    <xf numFmtId="0" fontId="17" fillId="0" borderId="0" xfId="0" applyFont="1" applyBorder="1"/>
    <xf numFmtId="0" fontId="51" fillId="0" borderId="0" xfId="0" applyFont="1" applyBorder="1"/>
    <xf numFmtId="0" fontId="51" fillId="0" borderId="0" xfId="0" applyFont="1" applyFill="1" applyBorder="1"/>
    <xf numFmtId="0" fontId="3" fillId="5" borderId="20" xfId="0" applyFont="1" applyFill="1" applyBorder="1"/>
    <xf numFmtId="0" fontId="3" fillId="5" borderId="17" xfId="0" applyFont="1" applyFill="1" applyBorder="1"/>
    <xf numFmtId="0" fontId="3" fillId="5" borderId="22" xfId="0" applyFont="1" applyFill="1" applyBorder="1"/>
    <xf numFmtId="0" fontId="3" fillId="5" borderId="21" xfId="0" applyFont="1" applyFill="1" applyBorder="1"/>
    <xf numFmtId="0" fontId="3" fillId="5" borderId="18" xfId="0" applyFont="1" applyFill="1" applyBorder="1"/>
    <xf numFmtId="0" fontId="3" fillId="5" borderId="23" xfId="0" applyFont="1" applyFill="1" applyBorder="1"/>
    <xf numFmtId="0" fontId="9" fillId="0" borderId="0" xfId="0" applyFont="1" applyFill="1" applyBorder="1"/>
    <xf numFmtId="0" fontId="34" fillId="0" borderId="0" xfId="0" applyFont="1" applyFill="1" applyBorder="1" applyAlignment="1">
      <alignment vertical="center"/>
    </xf>
    <xf numFmtId="0" fontId="12" fillId="0" borderId="0" xfId="0" applyFont="1" applyFill="1" applyBorder="1"/>
    <xf numFmtId="0" fontId="0" fillId="0" borderId="0" xfId="0" applyFont="1" applyBorder="1"/>
    <xf numFmtId="1" fontId="2" fillId="0" borderId="0" xfId="0" applyNumberFormat="1" applyFont="1"/>
    <xf numFmtId="166" fontId="40" fillId="4" borderId="52" xfId="2" applyNumberFormat="1" applyFont="1" applyFill="1" applyBorder="1" applyAlignment="1" applyProtection="1">
      <alignment horizontal="center"/>
    </xf>
    <xf numFmtId="166" fontId="40" fillId="4" borderId="53" xfId="2" applyNumberFormat="1" applyFont="1" applyFill="1" applyBorder="1" applyAlignment="1" applyProtection="1">
      <alignment horizontal="center"/>
    </xf>
    <xf numFmtId="166" fontId="40" fillId="4" borderId="17" xfId="2" applyNumberFormat="1" applyFont="1" applyFill="1" applyBorder="1" applyAlignment="1" applyProtection="1">
      <alignment horizontal="center"/>
    </xf>
    <xf numFmtId="166" fontId="30" fillId="4" borderId="11" xfId="2" applyNumberFormat="1" applyFont="1" applyFill="1" applyBorder="1" applyAlignment="1" applyProtection="1">
      <alignment horizontal="center"/>
    </xf>
    <xf numFmtId="166" fontId="30" fillId="0" borderId="54" xfId="2" applyNumberFormat="1" applyFont="1" applyBorder="1" applyAlignment="1" applyProtection="1">
      <alignment horizontal="center"/>
      <protection locked="0"/>
    </xf>
    <xf numFmtId="166" fontId="10" fillId="2" borderId="54" xfId="2" applyNumberFormat="1" applyFont="1" applyFill="1" applyBorder="1" applyAlignment="1" applyProtection="1">
      <alignment horizontal="center"/>
      <protection locked="0"/>
    </xf>
    <xf numFmtId="166" fontId="10" fillId="2" borderId="12" xfId="6" applyNumberFormat="1" applyFont="1" applyFill="1" applyBorder="1" applyAlignment="1" applyProtection="1">
      <alignment horizontal="center"/>
      <protection locked="0"/>
    </xf>
    <xf numFmtId="166" fontId="10" fillId="0" borderId="54" xfId="2" applyNumberFormat="1" applyFont="1" applyBorder="1" applyAlignment="1" applyProtection="1">
      <alignment horizontal="center"/>
      <protection locked="0"/>
    </xf>
    <xf numFmtId="166" fontId="30" fillId="4" borderId="11" xfId="2" applyNumberFormat="1" applyFont="1" applyFill="1" applyBorder="1" applyAlignment="1" applyProtection="1">
      <alignment horizontal="center"/>
      <protection locked="0"/>
    </xf>
    <xf numFmtId="166" fontId="10" fillId="2" borderId="55" xfId="2" applyNumberFormat="1" applyFont="1" applyFill="1" applyBorder="1" applyAlignment="1" applyProtection="1">
      <alignment horizontal="center"/>
      <protection locked="0"/>
    </xf>
    <xf numFmtId="166" fontId="10" fillId="2" borderId="56" xfId="2" applyNumberFormat="1" applyFont="1" applyFill="1" applyBorder="1" applyAlignment="1" applyProtection="1">
      <alignment horizontal="center"/>
      <protection locked="0"/>
    </xf>
    <xf numFmtId="0" fontId="0" fillId="0" borderId="0" xfId="0" applyBorder="1" applyAlignment="1">
      <alignment vertical="top" wrapText="1"/>
    </xf>
    <xf numFmtId="0" fontId="0" fillId="0" borderId="0" xfId="0" applyBorder="1" applyAlignment="1">
      <alignment horizontal="right"/>
    </xf>
    <xf numFmtId="0" fontId="15" fillId="0" borderId="0" xfId="0" applyFont="1" applyBorder="1"/>
    <xf numFmtId="0" fontId="3" fillId="0" borderId="0" xfId="0" applyFont="1" applyBorder="1" applyAlignment="1">
      <alignment vertical="center" wrapText="1"/>
    </xf>
    <xf numFmtId="0" fontId="0" fillId="0" borderId="0" xfId="0" applyBorder="1" applyAlignment="1">
      <alignment vertical="center" wrapText="1"/>
    </xf>
    <xf numFmtId="0" fontId="3" fillId="0" borderId="0" xfId="0" applyFont="1" applyBorder="1" applyAlignment="1">
      <alignment vertical="top" wrapText="1"/>
    </xf>
    <xf numFmtId="165" fontId="3" fillId="0" borderId="0" xfId="1" applyNumberFormat="1" applyFont="1" applyBorder="1"/>
    <xf numFmtId="0" fontId="36" fillId="4" borderId="0" xfId="0" applyFont="1" applyFill="1" applyBorder="1"/>
    <xf numFmtId="0" fontId="31" fillId="0" borderId="0" xfId="0" applyFont="1" applyFill="1" applyBorder="1"/>
    <xf numFmtId="0" fontId="16" fillId="0" borderId="0" xfId="0" applyFont="1" applyFill="1" applyBorder="1"/>
    <xf numFmtId="0" fontId="61" fillId="0" borderId="0" xfId="0" applyFont="1"/>
    <xf numFmtId="0" fontId="63" fillId="0" borderId="0" xfId="0" applyFont="1"/>
    <xf numFmtId="0" fontId="64" fillId="0" borderId="0" xfId="0" applyFont="1" applyFill="1" applyBorder="1"/>
    <xf numFmtId="2" fontId="34" fillId="0" borderId="0" xfId="0" applyNumberFormat="1" applyFont="1"/>
    <xf numFmtId="0" fontId="16" fillId="0" borderId="0" xfId="0" applyFont="1" applyFill="1"/>
    <xf numFmtId="0" fontId="16" fillId="4" borderId="0" xfId="0" applyFont="1" applyFill="1"/>
    <xf numFmtId="0" fontId="31" fillId="0" borderId="0" xfId="0" applyFont="1" applyFill="1"/>
    <xf numFmtId="9" fontId="3" fillId="0" borderId="0" xfId="0" applyNumberFormat="1" applyFont="1"/>
    <xf numFmtId="0" fontId="3" fillId="0" borderId="21" xfId="0" applyFont="1" applyFill="1" applyBorder="1"/>
    <xf numFmtId="0" fontId="3" fillId="5" borderId="11" xfId="0" applyFont="1" applyFill="1" applyBorder="1"/>
    <xf numFmtId="0" fontId="3" fillId="5" borderId="0" xfId="0" applyFont="1" applyFill="1" applyBorder="1"/>
    <xf numFmtId="0" fontId="3" fillId="5" borderId="12" xfId="0" applyFont="1" applyFill="1" applyBorder="1"/>
    <xf numFmtId="0" fontId="3" fillId="5" borderId="24" xfId="0" applyFont="1" applyFill="1" applyBorder="1"/>
    <xf numFmtId="0" fontId="3" fillId="5" borderId="25" xfId="0" applyFont="1" applyFill="1" applyBorder="1"/>
    <xf numFmtId="0" fontId="3" fillId="5" borderId="26" xfId="0" applyFont="1" applyFill="1" applyBorder="1"/>
    <xf numFmtId="0" fontId="34" fillId="5" borderId="0" xfId="0" applyFont="1" applyFill="1" applyBorder="1"/>
    <xf numFmtId="0" fontId="34" fillId="5" borderId="17" xfId="0" applyFont="1" applyFill="1" applyBorder="1"/>
    <xf numFmtId="0" fontId="34" fillId="5" borderId="18" xfId="0" applyFont="1" applyFill="1" applyBorder="1"/>
    <xf numFmtId="0" fontId="61" fillId="0" borderId="14" xfId="0" applyFont="1" applyBorder="1"/>
    <xf numFmtId="0" fontId="3" fillId="0" borderId="16" xfId="0" applyFont="1" applyBorder="1" applyAlignment="1">
      <alignment horizontal="center"/>
    </xf>
    <xf numFmtId="0" fontId="61" fillId="0" borderId="16" xfId="0" applyFont="1" applyBorder="1"/>
    <xf numFmtId="0" fontId="63" fillId="0" borderId="9" xfId="0" applyFont="1" applyBorder="1"/>
    <xf numFmtId="0" fontId="11" fillId="0" borderId="9" xfId="0" applyFont="1" applyBorder="1"/>
    <xf numFmtId="0" fontId="0" fillId="0" borderId="20" xfId="0" applyBorder="1"/>
    <xf numFmtId="0" fontId="3" fillId="0" borderId="14" xfId="0" applyFont="1" applyFill="1" applyBorder="1"/>
    <xf numFmtId="0" fontId="3" fillId="0" borderId="16" xfId="0" applyFont="1" applyFill="1" applyBorder="1"/>
    <xf numFmtId="0" fontId="17" fillId="0" borderId="9" xfId="0" applyFont="1" applyFill="1" applyBorder="1"/>
    <xf numFmtId="0" fontId="16" fillId="5" borderId="9" xfId="0" applyFont="1" applyFill="1" applyBorder="1" applyAlignment="1">
      <alignment horizontal="center"/>
    </xf>
    <xf numFmtId="0" fontId="31" fillId="5" borderId="9" xfId="0" applyFont="1" applyFill="1" applyBorder="1" applyAlignment="1">
      <alignment horizontal="center" vertical="center"/>
    </xf>
    <xf numFmtId="0" fontId="31" fillId="5" borderId="9" xfId="0" applyFont="1" applyFill="1" applyBorder="1" applyAlignment="1">
      <alignment horizontal="center"/>
    </xf>
    <xf numFmtId="10" fontId="3" fillId="0" borderId="9" xfId="1" applyNumberFormat="1" applyFont="1" applyBorder="1" applyAlignment="1">
      <alignment horizontal="right"/>
    </xf>
    <xf numFmtId="10" fontId="3" fillId="5" borderId="0" xfId="0" applyNumberFormat="1" applyFont="1" applyFill="1"/>
    <xf numFmtId="0" fontId="31" fillId="0" borderId="0" xfId="0" applyFont="1" applyFill="1" applyBorder="1" applyAlignment="1">
      <alignment horizontal="center"/>
    </xf>
    <xf numFmtId="2" fontId="3" fillId="5" borderId="0" xfId="1" applyNumberFormat="1" applyFont="1" applyFill="1"/>
    <xf numFmtId="10" fontId="3" fillId="5" borderId="0" xfId="1" applyNumberFormat="1" applyFont="1" applyFill="1"/>
    <xf numFmtId="0" fontId="16" fillId="5" borderId="0" xfId="0" applyFont="1" applyFill="1" applyBorder="1"/>
    <xf numFmtId="0" fontId="3" fillId="5" borderId="10" xfId="0" applyFont="1" applyFill="1" applyBorder="1"/>
    <xf numFmtId="0" fontId="3" fillId="5" borderId="13" xfId="0" applyFont="1" applyFill="1" applyBorder="1"/>
    <xf numFmtId="0" fontId="3" fillId="5" borderId="19" xfId="0" applyFont="1" applyFill="1" applyBorder="1"/>
    <xf numFmtId="0" fontId="3" fillId="0" borderId="18" xfId="0" applyFont="1" applyFill="1" applyBorder="1"/>
    <xf numFmtId="0" fontId="3" fillId="0" borderId="23" xfId="0" applyFont="1" applyFill="1" applyBorder="1"/>
    <xf numFmtId="0" fontId="3" fillId="0" borderId="10" xfId="0" applyFont="1" applyFill="1" applyBorder="1"/>
    <xf numFmtId="0" fontId="3" fillId="0" borderId="14" xfId="0" applyFont="1" applyBorder="1" applyAlignment="1">
      <alignment horizontal="center"/>
    </xf>
    <xf numFmtId="0" fontId="3" fillId="0" borderId="15" xfId="0" applyFont="1" applyBorder="1" applyAlignment="1">
      <alignment horizontal="center"/>
    </xf>
    <xf numFmtId="10" fontId="3" fillId="5" borderId="9" xfId="1" applyNumberFormat="1" applyFont="1" applyFill="1" applyBorder="1"/>
    <xf numFmtId="0" fontId="0" fillId="0" borderId="16" xfId="0" applyFill="1" applyBorder="1"/>
    <xf numFmtId="43" fontId="3" fillId="5" borderId="0" xfId="2" applyFont="1" applyFill="1"/>
    <xf numFmtId="2" fontId="3" fillId="5" borderId="0" xfId="0" applyNumberFormat="1" applyFont="1" applyFill="1"/>
    <xf numFmtId="0" fontId="3" fillId="0" borderId="0" xfId="0" applyFont="1" applyFill="1" applyBorder="1" applyAlignment="1"/>
    <xf numFmtId="0" fontId="3" fillId="0" borderId="0" xfId="0" applyFont="1" applyFill="1" applyBorder="1" applyAlignment="1">
      <alignment wrapText="1"/>
    </xf>
    <xf numFmtId="1" fontId="3" fillId="5" borderId="9" xfId="0" applyNumberFormat="1" applyFont="1" applyFill="1" applyBorder="1"/>
    <xf numFmtId="169" fontId="34" fillId="0" borderId="0" xfId="0" applyNumberFormat="1" applyFont="1"/>
    <xf numFmtId="169" fontId="3" fillId="0" borderId="0" xfId="0" applyNumberFormat="1" applyFont="1" applyBorder="1" applyAlignment="1">
      <alignment horizontal="left" vertical="center" wrapText="1"/>
    </xf>
    <xf numFmtId="169" fontId="3" fillId="0" borderId="13" xfId="0" applyNumberFormat="1" applyFont="1" applyBorder="1" applyAlignment="1">
      <alignment horizontal="left" vertical="center" wrapText="1"/>
    </xf>
    <xf numFmtId="169" fontId="3" fillId="0" borderId="19" xfId="0" applyNumberFormat="1" applyFont="1" applyBorder="1" applyAlignment="1">
      <alignment horizontal="left" vertical="center" wrapText="1"/>
    </xf>
    <xf numFmtId="0" fontId="10" fillId="0" borderId="9" xfId="0" applyFont="1" applyBorder="1"/>
    <xf numFmtId="0" fontId="16" fillId="5" borderId="0" xfId="0" applyFont="1" applyFill="1"/>
    <xf numFmtId="1" fontId="16" fillId="5" borderId="0" xfId="0" applyNumberFormat="1" applyFont="1" applyFill="1"/>
    <xf numFmtId="0" fontId="31" fillId="5" borderId="0" xfId="0" applyFont="1" applyFill="1"/>
    <xf numFmtId="1" fontId="31" fillId="5" borderId="0" xfId="0" applyNumberFormat="1" applyFont="1" applyFill="1"/>
    <xf numFmtId="170" fontId="31" fillId="5" borderId="0" xfId="0" applyNumberFormat="1" applyFont="1" applyFill="1"/>
    <xf numFmtId="2" fontId="17" fillId="0" borderId="9" xfId="0" applyNumberFormat="1" applyFont="1" applyBorder="1"/>
    <xf numFmtId="0" fontId="13" fillId="5" borderId="0" xfId="0" applyFont="1" applyFill="1" applyBorder="1"/>
    <xf numFmtId="2" fontId="13" fillId="5" borderId="0" xfId="0" applyNumberFormat="1" applyFont="1" applyFill="1" applyBorder="1"/>
    <xf numFmtId="0" fontId="0" fillId="0" borderId="0" xfId="0" applyAlignment="1">
      <alignment horizontal="left" wrapText="1"/>
    </xf>
    <xf numFmtId="0" fontId="0" fillId="0" borderId="0" xfId="0" applyAlignment="1">
      <alignment wrapText="1"/>
    </xf>
    <xf numFmtId="0" fontId="3" fillId="0" borderId="9" xfId="0" applyFont="1" applyBorder="1" applyAlignment="1">
      <alignment horizontal="center"/>
    </xf>
    <xf numFmtId="0" fontId="0" fillId="0" borderId="9" xfId="0" applyBorder="1" applyAlignment="1">
      <alignment horizontal="center"/>
    </xf>
    <xf numFmtId="2" fontId="3" fillId="5" borderId="0" xfId="0" applyNumberFormat="1" applyFont="1" applyFill="1" applyBorder="1"/>
    <xf numFmtId="0" fontId="3" fillId="5" borderId="14" xfId="0" applyFont="1" applyFill="1" applyBorder="1" applyAlignment="1">
      <alignment vertical="center" wrapText="1"/>
    </xf>
    <xf numFmtId="0" fontId="0" fillId="0" borderId="14" xfId="0" applyBorder="1"/>
    <xf numFmtId="0" fontId="3" fillId="0" borderId="15" xfId="0" applyFont="1" applyFill="1" applyBorder="1" applyAlignment="1">
      <alignment vertical="center" wrapText="1"/>
    </xf>
    <xf numFmtId="0" fontId="0" fillId="0" borderId="0" xfId="0" applyAlignment="1">
      <alignment horizontal="left"/>
    </xf>
    <xf numFmtId="0" fontId="66" fillId="0" borderId="0" xfId="0" applyFont="1"/>
    <xf numFmtId="0" fontId="50" fillId="0" borderId="0" xfId="0" applyFont="1" applyAlignment="1">
      <alignment horizontal="right"/>
    </xf>
    <xf numFmtId="0" fontId="0" fillId="0" borderId="0" xfId="0" applyAlignment="1">
      <alignment horizontal="justify" wrapText="1"/>
    </xf>
    <xf numFmtId="0" fontId="0" fillId="0" borderId="0" xfId="0" applyBorder="1" applyAlignment="1">
      <alignment horizontal="center"/>
    </xf>
    <xf numFmtId="0" fontId="0" fillId="0" borderId="11" xfId="0" applyBorder="1" applyAlignment="1">
      <alignment vertical="center" wrapText="1"/>
    </xf>
    <xf numFmtId="0" fontId="0" fillId="0" borderId="11" xfId="0" applyBorder="1" applyAlignment="1">
      <alignment vertical="center"/>
    </xf>
    <xf numFmtId="0" fontId="0" fillId="0" borderId="11" xfId="0" applyFont="1" applyBorder="1" applyAlignment="1">
      <alignment vertical="center"/>
    </xf>
    <xf numFmtId="0" fontId="0" fillId="0" borderId="0" xfId="0" applyAlignment="1">
      <alignment horizontal="justify" vertical="top" wrapText="1"/>
    </xf>
    <xf numFmtId="0" fontId="0" fillId="8" borderId="9" xfId="0" applyFill="1" applyBorder="1"/>
    <xf numFmtId="0" fontId="0" fillId="8" borderId="9" xfId="0" applyFill="1" applyBorder="1" applyAlignment="1">
      <alignment horizontal="center"/>
    </xf>
    <xf numFmtId="0" fontId="0" fillId="8" borderId="9" xfId="0" applyFont="1" applyFill="1" applyBorder="1" applyAlignment="1">
      <alignment horizontal="center"/>
    </xf>
    <xf numFmtId="0" fontId="73" fillId="0" borderId="0" xfId="0" applyFont="1" applyFill="1"/>
    <xf numFmtId="10" fontId="35" fillId="0" borderId="0" xfId="0" applyNumberFormat="1" applyFont="1" applyFill="1"/>
    <xf numFmtId="0" fontId="74" fillId="0" borderId="0" xfId="0" applyFont="1"/>
    <xf numFmtId="0" fontId="3" fillId="0" borderId="0" xfId="0" applyFont="1" applyBorder="1" applyAlignment="1"/>
    <xf numFmtId="0" fontId="19" fillId="0" borderId="0" xfId="0" applyFont="1"/>
    <xf numFmtId="172" fontId="0" fillId="0" borderId="9" xfId="0" applyNumberFormat="1" applyBorder="1"/>
    <xf numFmtId="0" fontId="0" fillId="0" borderId="10" xfId="0" applyFill="1" applyBorder="1" applyAlignment="1">
      <alignment horizontal="center"/>
    </xf>
    <xf numFmtId="172" fontId="0" fillId="0" borderId="0" xfId="0" applyNumberFormat="1"/>
    <xf numFmtId="1" fontId="9" fillId="0" borderId="0" xfId="0" applyNumberFormat="1" applyFont="1" applyFill="1" applyBorder="1"/>
    <xf numFmtId="1" fontId="0" fillId="0" borderId="0" xfId="0" applyNumberFormat="1" applyFill="1" applyBorder="1"/>
    <xf numFmtId="0" fontId="44" fillId="0" borderId="0" xfId="0" applyFont="1"/>
    <xf numFmtId="0" fontId="44" fillId="0" borderId="9" xfId="0" applyFont="1" applyBorder="1" applyAlignment="1">
      <alignment horizontal="center"/>
    </xf>
    <xf numFmtId="0" fontId="44" fillId="0" borderId="9" xfId="0" applyFont="1" applyBorder="1"/>
    <xf numFmtId="1" fontId="44" fillId="0" borderId="9" xfId="0" applyNumberFormat="1" applyFont="1" applyBorder="1"/>
    <xf numFmtId="1" fontId="0" fillId="0" borderId="0" xfId="0" applyNumberFormat="1" applyFont="1" applyFill="1" applyBorder="1"/>
    <xf numFmtId="1" fontId="0" fillId="0" borderId="0" xfId="0" applyNumberFormat="1" applyFont="1" applyFill="1" applyAlignment="1">
      <alignment horizontal="right"/>
    </xf>
    <xf numFmtId="1" fontId="2" fillId="0" borderId="0" xfId="0" applyNumberFormat="1" applyFont="1" applyFill="1"/>
    <xf numFmtId="0" fontId="32" fillId="0" borderId="0" xfId="0" applyFont="1" applyFill="1"/>
    <xf numFmtId="0" fontId="51" fillId="0" borderId="0" xfId="0" applyFont="1" applyBorder="1" applyAlignment="1">
      <alignment horizontal="center"/>
    </xf>
    <xf numFmtId="0" fontId="3" fillId="0" borderId="9" xfId="0" applyFont="1" applyFill="1" applyBorder="1" applyAlignment="1">
      <alignment horizontal="center"/>
    </xf>
    <xf numFmtId="0" fontId="3" fillId="0" borderId="9" xfId="0" applyFont="1" applyBorder="1" applyAlignment="1">
      <alignment horizontal="center"/>
    </xf>
    <xf numFmtId="0" fontId="3" fillId="2" borderId="9" xfId="0" applyFont="1" applyFill="1" applyBorder="1" applyAlignment="1" applyProtection="1">
      <alignment horizontal="center"/>
      <protection locked="0"/>
    </xf>
    <xf numFmtId="0" fontId="0" fillId="0" borderId="9" xfId="0" applyBorder="1" applyAlignment="1">
      <alignment horizontal="center"/>
    </xf>
    <xf numFmtId="0" fontId="0" fillId="0" borderId="0" xfId="0" applyAlignment="1">
      <alignment horizontal="justify" wrapText="1"/>
    </xf>
    <xf numFmtId="0" fontId="3" fillId="0" borderId="10" xfId="0" applyFont="1" applyBorder="1" applyAlignment="1">
      <alignment horizontal="center"/>
    </xf>
    <xf numFmtId="0" fontId="3" fillId="0" borderId="20" xfId="0" applyFont="1" applyBorder="1" applyAlignment="1">
      <alignment horizontal="center"/>
    </xf>
    <xf numFmtId="0" fontId="3" fillId="0" borderId="9" xfId="0" applyFont="1" applyBorder="1" applyAlignment="1">
      <alignment horizontal="center"/>
    </xf>
    <xf numFmtId="0" fontId="3" fillId="0" borderId="19" xfId="0" applyFont="1" applyFill="1" applyBorder="1" applyAlignment="1">
      <alignment horizontal="center"/>
    </xf>
    <xf numFmtId="0" fontId="10" fillId="0" borderId="20" xfId="0" applyFont="1" applyBorder="1" applyAlignment="1">
      <alignment horizontal="center"/>
    </xf>
    <xf numFmtId="0" fontId="3" fillId="0" borderId="20" xfId="0" applyFont="1" applyFill="1" applyBorder="1" applyAlignment="1">
      <alignment horizont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0" fillId="2" borderId="0" xfId="0" applyFill="1" applyProtection="1">
      <protection locked="0"/>
    </xf>
    <xf numFmtId="14" fontId="0" fillId="2" borderId="0" xfId="0" applyNumberFormat="1" applyFill="1" applyAlignment="1" applyProtection="1">
      <alignment vertical="center"/>
      <protection locked="0"/>
    </xf>
    <xf numFmtId="0" fontId="3" fillId="0" borderId="0" xfId="0" applyFont="1" applyAlignment="1" applyProtection="1">
      <alignment horizontal="center"/>
      <protection locked="0"/>
    </xf>
    <xf numFmtId="171" fontId="3" fillId="2" borderId="34" xfId="0" applyNumberFormat="1" applyFont="1" applyFill="1" applyBorder="1" applyAlignment="1" applyProtection="1">
      <alignment horizontal="center"/>
      <protection locked="0"/>
    </xf>
    <xf numFmtId="0" fontId="3" fillId="2" borderId="34" xfId="0" applyFont="1" applyFill="1" applyBorder="1" applyProtection="1">
      <protection locked="0"/>
    </xf>
    <xf numFmtId="0" fontId="3" fillId="2" borderId="0" xfId="0" applyFont="1" applyFill="1" applyProtection="1">
      <protection locked="0"/>
    </xf>
    <xf numFmtId="0" fontId="3" fillId="2" borderId="9" xfId="0" applyFont="1" applyFill="1" applyBorder="1" applyProtection="1">
      <protection locked="0"/>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wrapText="1"/>
      <protection locked="0"/>
    </xf>
    <xf numFmtId="166" fontId="10" fillId="2" borderId="49" xfId="1" applyNumberFormat="1" applyFont="1" applyFill="1" applyBorder="1" applyAlignment="1" applyProtection="1">
      <alignment horizontal="center"/>
      <protection locked="0"/>
    </xf>
    <xf numFmtId="166" fontId="10" fillId="2" borderId="50" xfId="2" applyNumberFormat="1" applyFont="1" applyFill="1" applyBorder="1" applyAlignment="1" applyProtection="1">
      <alignment horizontal="center"/>
      <protection locked="0"/>
    </xf>
    <xf numFmtId="166" fontId="10" fillId="2" borderId="50" xfId="6" applyNumberFormat="1" applyFont="1" applyFill="1" applyBorder="1" applyAlignment="1" applyProtection="1">
      <alignment horizontal="center"/>
      <protection locked="0"/>
    </xf>
    <xf numFmtId="166" fontId="10" fillId="2" borderId="15" xfId="6" applyNumberFormat="1" applyFont="1" applyFill="1" applyBorder="1" applyAlignment="1" applyProtection="1">
      <alignment horizontal="center"/>
      <protection locked="0"/>
    </xf>
    <xf numFmtId="0" fontId="3" fillId="2" borderId="0" xfId="0" applyFont="1" applyFill="1" applyBorder="1" applyProtection="1">
      <protection locked="0"/>
    </xf>
    <xf numFmtId="10" fontId="35" fillId="2" borderId="0" xfId="0" applyNumberFormat="1" applyFont="1" applyFill="1" applyProtection="1">
      <protection locked="0"/>
    </xf>
    <xf numFmtId="0" fontId="35" fillId="2" borderId="0" xfId="0" applyFont="1" applyFill="1" applyProtection="1">
      <protection locked="0"/>
    </xf>
    <xf numFmtId="9" fontId="35" fillId="2" borderId="0" xfId="0" applyNumberFormat="1" applyFont="1" applyFill="1" applyProtection="1">
      <protection locked="0"/>
    </xf>
    <xf numFmtId="0" fontId="19" fillId="0" borderId="0" xfId="0" applyFont="1" applyFill="1"/>
    <xf numFmtId="10" fontId="3" fillId="2" borderId="9" xfId="1" applyNumberFormat="1" applyFont="1" applyFill="1" applyBorder="1" applyProtection="1">
      <protection locked="0"/>
    </xf>
    <xf numFmtId="0" fontId="3" fillId="2" borderId="10" xfId="0" applyFont="1" applyFill="1" applyBorder="1" applyProtection="1">
      <protection locked="0"/>
    </xf>
    <xf numFmtId="10" fontId="3" fillId="2" borderId="0" xfId="1" applyNumberFormat="1" applyFont="1" applyFill="1" applyProtection="1">
      <protection locked="0"/>
    </xf>
    <xf numFmtId="0" fontId="3" fillId="2" borderId="19" xfId="0" applyFont="1" applyFill="1" applyBorder="1" applyProtection="1">
      <protection locked="0"/>
    </xf>
    <xf numFmtId="0" fontId="10" fillId="0" borderId="0" xfId="0" applyFont="1" applyFill="1" applyBorder="1" applyAlignment="1"/>
    <xf numFmtId="0" fontId="3" fillId="0" borderId="0" xfId="0" applyFont="1" applyFill="1" applyBorder="1" applyAlignment="1" applyProtection="1">
      <alignment horizontal="center"/>
      <protection locked="0"/>
    </xf>
    <xf numFmtId="0" fontId="3" fillId="0" borderId="0" xfId="0" applyFont="1" applyFill="1" applyBorder="1" applyAlignment="1" applyProtection="1">
      <protection locked="0"/>
    </xf>
    <xf numFmtId="1" fontId="3" fillId="0" borderId="10" xfId="0" applyNumberFormat="1" applyFont="1" applyBorder="1" applyAlignment="1">
      <alignment horizontal="right"/>
    </xf>
    <xf numFmtId="0" fontId="18" fillId="0" borderId="0" xfId="0" applyFont="1"/>
    <xf numFmtId="0" fontId="3" fillId="0" borderId="34" xfId="0" applyFont="1" applyBorder="1" applyAlignment="1">
      <alignment horizontal="right"/>
    </xf>
    <xf numFmtId="1" fontId="3" fillId="0" borderId="34" xfId="0" applyNumberFormat="1" applyFont="1" applyBorder="1" applyAlignment="1">
      <alignment horizontal="right"/>
    </xf>
    <xf numFmtId="172" fontId="3" fillId="0" borderId="0" xfId="0" applyNumberFormat="1" applyFont="1" applyAlignment="1">
      <alignment horizontal="right" vertical="center"/>
    </xf>
    <xf numFmtId="0" fontId="0" fillId="0" borderId="57" xfId="0" applyBorder="1"/>
    <xf numFmtId="0" fontId="0" fillId="0" borderId="58" xfId="0" applyBorder="1"/>
    <xf numFmtId="0" fontId="0" fillId="0" borderId="59" xfId="0" applyBorder="1"/>
    <xf numFmtId="165" fontId="0" fillId="2" borderId="59" xfId="1" applyNumberFormat="1" applyFont="1" applyFill="1" applyBorder="1" applyProtection="1">
      <protection locked="0"/>
    </xf>
    <xf numFmtId="0" fontId="3" fillId="2" borderId="60" xfId="0" applyFont="1" applyFill="1" applyBorder="1" applyAlignment="1" applyProtection="1">
      <protection locked="0"/>
    </xf>
    <xf numFmtId="0" fontId="3" fillId="2" borderId="61" xfId="0" applyFont="1" applyFill="1" applyBorder="1" applyAlignment="1"/>
    <xf numFmtId="165" fontId="3" fillId="2" borderId="59" xfId="1" applyNumberFormat="1" applyFont="1" applyFill="1" applyBorder="1" applyProtection="1">
      <protection locked="0"/>
    </xf>
    <xf numFmtId="0" fontId="3" fillId="2" borderId="62" xfId="0" applyFont="1" applyFill="1" applyBorder="1" applyAlignment="1" applyProtection="1">
      <protection locked="0"/>
    </xf>
    <xf numFmtId="0" fontId="3" fillId="2" borderId="65" xfId="0" applyFont="1" applyFill="1" applyBorder="1" applyAlignment="1" applyProtection="1">
      <protection locked="0"/>
    </xf>
    <xf numFmtId="0" fontId="3" fillId="2" borderId="67" xfId="0" applyFont="1" applyFill="1" applyBorder="1" applyAlignment="1" applyProtection="1">
      <protection locked="0"/>
    </xf>
    <xf numFmtId="0" fontId="3" fillId="0" borderId="17" xfId="0" applyFont="1" applyBorder="1" applyAlignment="1">
      <alignment horizontal="center" vertical="center"/>
    </xf>
    <xf numFmtId="0" fontId="3" fillId="2" borderId="70" xfId="0" applyFont="1" applyFill="1" applyBorder="1" applyAlignment="1" applyProtection="1">
      <alignment horizontal="center"/>
      <protection locked="0"/>
    </xf>
    <xf numFmtId="0" fontId="3" fillId="2" borderId="71" xfId="0" applyFont="1" applyFill="1" applyBorder="1" applyAlignment="1" applyProtection="1">
      <alignment horizontal="center"/>
      <protection locked="0"/>
    </xf>
    <xf numFmtId="0" fontId="3" fillId="2" borderId="72" xfId="0" applyFont="1" applyFill="1" applyBorder="1" applyAlignment="1" applyProtection="1">
      <protection locked="0"/>
    </xf>
    <xf numFmtId="0" fontId="3" fillId="2" borderId="73" xfId="0" applyFont="1" applyFill="1" applyBorder="1" applyAlignment="1" applyProtection="1">
      <protection locked="0"/>
    </xf>
    <xf numFmtId="0" fontId="3" fillId="2" borderId="74" xfId="0" applyFont="1" applyFill="1" applyBorder="1" applyAlignment="1" applyProtection="1">
      <protection locked="0"/>
    </xf>
    <xf numFmtId="0" fontId="3" fillId="2" borderId="75" xfId="0" applyFont="1" applyFill="1" applyBorder="1" applyAlignment="1" applyProtection="1">
      <protection locked="0"/>
    </xf>
    <xf numFmtId="0" fontId="3" fillId="2" borderId="76" xfId="0" applyFont="1" applyFill="1" applyBorder="1" applyAlignment="1" applyProtection="1">
      <protection locked="0"/>
    </xf>
    <xf numFmtId="0" fontId="3" fillId="2" borderId="77" xfId="0" applyFont="1" applyFill="1" applyBorder="1" applyAlignment="1" applyProtection="1">
      <protection locked="0"/>
    </xf>
    <xf numFmtId="0" fontId="3" fillId="2" borderId="78" xfId="0" applyFont="1" applyFill="1" applyBorder="1" applyAlignment="1" applyProtection="1">
      <alignment horizontal="center"/>
      <protection locked="0"/>
    </xf>
    <xf numFmtId="0" fontId="3" fillId="2" borderId="79" xfId="0" applyFont="1" applyFill="1" applyBorder="1" applyAlignment="1" applyProtection="1">
      <alignment horizontal="center"/>
      <protection locked="0"/>
    </xf>
    <xf numFmtId="0" fontId="3" fillId="0" borderId="13" xfId="0" applyFont="1" applyBorder="1" applyAlignment="1"/>
    <xf numFmtId="0" fontId="3" fillId="0" borderId="0" xfId="0" applyFont="1" applyBorder="1" applyAlignment="1">
      <alignment horizontal="center" vertical="center"/>
    </xf>
    <xf numFmtId="0" fontId="20" fillId="0" borderId="0" xfId="0" applyFont="1" applyBorder="1" applyAlignment="1">
      <alignment horizontal="center" vertical="center"/>
    </xf>
    <xf numFmtId="0" fontId="3" fillId="0" borderId="15" xfId="0" applyFont="1" applyFill="1" applyBorder="1" applyAlignment="1">
      <alignment horizontal="center"/>
    </xf>
    <xf numFmtId="0" fontId="3" fillId="0" borderId="14" xfId="0" applyFont="1" applyFill="1" applyBorder="1" applyAlignment="1">
      <alignment horizontal="center"/>
    </xf>
    <xf numFmtId="0" fontId="0" fillId="0" borderId="14" xfId="0" applyFill="1" applyBorder="1"/>
    <xf numFmtId="0" fontId="3" fillId="0" borderId="11"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0" fontId="3" fillId="0" borderId="15" xfId="0" applyFont="1" applyFill="1" applyBorder="1" applyAlignment="1" applyProtection="1">
      <alignment horizontal="center"/>
      <protection locked="0"/>
    </xf>
    <xf numFmtId="0" fontId="0" fillId="0" borderId="15" xfId="0" applyBorder="1" applyAlignment="1">
      <alignment horizontal="center"/>
    </xf>
    <xf numFmtId="0" fontId="0" fillId="0" borderId="15" xfId="0" applyBorder="1"/>
    <xf numFmtId="0" fontId="0" fillId="0" borderId="15" xfId="0" applyFill="1" applyBorder="1" applyAlignment="1">
      <alignment horizontal="center"/>
    </xf>
    <xf numFmtId="0" fontId="3" fillId="0" borderId="15" xfId="0" applyFont="1" applyFill="1" applyBorder="1" applyAlignment="1">
      <alignment horizontal="center" vertical="center"/>
    </xf>
    <xf numFmtId="0" fontId="3" fillId="2" borderId="59" xfId="0" applyFont="1" applyFill="1" applyBorder="1" applyAlignment="1" applyProtection="1">
      <alignment horizontal="center"/>
      <protection locked="0"/>
    </xf>
    <xf numFmtId="0" fontId="3" fillId="2" borderId="80" xfId="0" applyFont="1" applyFill="1" applyBorder="1" applyAlignment="1" applyProtection="1">
      <alignment horizontal="center"/>
      <protection locked="0"/>
    </xf>
    <xf numFmtId="0" fontId="3" fillId="2" borderId="59" xfId="0" applyFont="1" applyFill="1" applyBorder="1" applyAlignment="1" applyProtection="1">
      <alignment horizontal="center" vertical="center"/>
      <protection locked="0"/>
    </xf>
    <xf numFmtId="0" fontId="3" fillId="0" borderId="59" xfId="0" applyFont="1" applyBorder="1" applyAlignment="1"/>
    <xf numFmtId="0" fontId="14" fillId="0" borderId="0" xfId="0" applyFont="1" applyAlignment="1"/>
    <xf numFmtId="171" fontId="3" fillId="2" borderId="59" xfId="0" applyNumberFormat="1" applyFont="1" applyFill="1" applyBorder="1" applyProtection="1">
      <protection locked="0"/>
    </xf>
    <xf numFmtId="0" fontId="34" fillId="0" borderId="81" xfId="0" applyFont="1" applyBorder="1" applyAlignment="1">
      <alignment vertical="center"/>
    </xf>
    <xf numFmtId="0" fontId="3" fillId="0" borderId="81" xfId="0" applyFont="1" applyBorder="1" applyAlignment="1">
      <alignment vertical="center"/>
    </xf>
    <xf numFmtId="171" fontId="3" fillId="2" borderId="68" xfId="0" applyNumberFormat="1" applyFont="1" applyFill="1" applyBorder="1" applyProtection="1">
      <protection locked="0"/>
    </xf>
    <xf numFmtId="171" fontId="3" fillId="2" borderId="69" xfId="0" applyNumberFormat="1" applyFont="1" applyFill="1" applyBorder="1" applyProtection="1">
      <protection locked="0"/>
    </xf>
    <xf numFmtId="16" fontId="3" fillId="0" borderId="0" xfId="0" applyNumberFormat="1" applyFont="1"/>
    <xf numFmtId="0" fontId="3" fillId="2" borderId="78" xfId="0" applyFont="1" applyFill="1" applyBorder="1" applyProtection="1">
      <protection locked="0"/>
    </xf>
    <xf numFmtId="0" fontId="3" fillId="2" borderId="80" xfId="0" applyFont="1" applyFill="1" applyBorder="1" applyProtection="1">
      <protection locked="0"/>
    </xf>
    <xf numFmtId="0" fontId="3" fillId="2" borderId="79" xfId="0" applyFont="1" applyFill="1" applyBorder="1" applyProtection="1">
      <protection locked="0"/>
    </xf>
    <xf numFmtId="0" fontId="14" fillId="0" borderId="59" xfId="0" applyFont="1" applyBorder="1"/>
    <xf numFmtId="0" fontId="3" fillId="2" borderId="62" xfId="0" applyFont="1" applyFill="1" applyBorder="1" applyProtection="1">
      <protection locked="0"/>
    </xf>
    <xf numFmtId="0" fontId="3" fillId="2" borderId="67" xfId="0" applyFont="1" applyFill="1" applyBorder="1" applyProtection="1">
      <protection locked="0"/>
    </xf>
    <xf numFmtId="0" fontId="3" fillId="2" borderId="65" xfId="0" applyFont="1" applyFill="1" applyBorder="1" applyProtection="1">
      <protection locked="0"/>
    </xf>
    <xf numFmtId="0" fontId="3" fillId="2" borderId="83" xfId="0" applyFont="1" applyFill="1" applyBorder="1" applyProtection="1">
      <protection locked="0"/>
    </xf>
    <xf numFmtId="0" fontId="3" fillId="2" borderId="18" xfId="0" applyFont="1" applyFill="1" applyBorder="1" applyProtection="1">
      <protection locked="0"/>
    </xf>
    <xf numFmtId="0" fontId="14" fillId="0" borderId="82" xfId="0" applyFont="1" applyBorder="1"/>
    <xf numFmtId="0" fontId="3" fillId="0" borderId="58" xfId="0" applyFont="1" applyBorder="1"/>
    <xf numFmtId="0" fontId="3" fillId="0" borderId="57" xfId="0" applyFont="1" applyBorder="1" applyAlignment="1">
      <alignment vertical="center"/>
    </xf>
    <xf numFmtId="0" fontId="3" fillId="0" borderId="17" xfId="0" applyFont="1" applyFill="1" applyBorder="1"/>
    <xf numFmtId="0" fontId="34" fillId="0" borderId="0" xfId="0" applyFont="1" applyBorder="1"/>
    <xf numFmtId="0" fontId="3" fillId="2" borderId="62" xfId="0" applyFont="1" applyFill="1" applyBorder="1" applyAlignment="1" applyProtection="1">
      <alignment horizontal="center"/>
      <protection locked="0"/>
    </xf>
    <xf numFmtId="0" fontId="3" fillId="2" borderId="84" xfId="0" applyFont="1" applyFill="1" applyBorder="1" applyAlignment="1" applyProtection="1">
      <alignment horizontal="center"/>
      <protection locked="0"/>
    </xf>
    <xf numFmtId="0" fontId="3" fillId="2" borderId="57" xfId="0" applyFont="1" applyFill="1" applyBorder="1" applyAlignment="1" applyProtection="1">
      <alignment horizontal="center"/>
      <protection locked="0"/>
    </xf>
    <xf numFmtId="0" fontId="3" fillId="2" borderId="64" xfId="0" applyFont="1" applyFill="1" applyBorder="1" applyAlignment="1" applyProtection="1">
      <alignment horizontal="center"/>
      <protection locked="0"/>
    </xf>
    <xf numFmtId="0" fontId="3" fillId="2" borderId="85" xfId="0" applyFont="1" applyFill="1" applyBorder="1" applyProtection="1">
      <protection locked="0"/>
    </xf>
    <xf numFmtId="171" fontId="3" fillId="2" borderId="75" xfId="0" applyNumberFormat="1" applyFont="1" applyFill="1" applyBorder="1" applyProtection="1">
      <protection locked="0"/>
    </xf>
    <xf numFmtId="0" fontId="10" fillId="0" borderId="14" xfId="0" applyFont="1" applyFill="1" applyBorder="1" applyAlignment="1">
      <alignment horizontal="center"/>
    </xf>
    <xf numFmtId="0" fontId="10" fillId="0" borderId="14" xfId="0" applyFont="1" applyBorder="1" applyAlignment="1">
      <alignment horizontal="center"/>
    </xf>
    <xf numFmtId="10" fontId="3" fillId="2" borderId="63" xfId="1" applyNumberFormat="1" applyFont="1" applyFill="1" applyBorder="1" applyProtection="1">
      <protection locked="0"/>
    </xf>
    <xf numFmtId="0" fontId="3" fillId="2" borderId="86" xfId="0" applyFont="1" applyFill="1" applyBorder="1" applyProtection="1">
      <protection locked="0"/>
    </xf>
    <xf numFmtId="14" fontId="10" fillId="2" borderId="64" xfId="0" applyNumberFormat="1" applyFont="1" applyFill="1" applyBorder="1" applyAlignment="1" applyProtection="1">
      <alignment horizontal="right"/>
      <protection locked="0"/>
    </xf>
    <xf numFmtId="14" fontId="10" fillId="2" borderId="66" xfId="0" applyNumberFormat="1" applyFont="1" applyFill="1" applyBorder="1" applyAlignment="1" applyProtection="1">
      <alignment horizontal="right"/>
      <protection locked="0"/>
    </xf>
    <xf numFmtId="9" fontId="3" fillId="0" borderId="68" xfId="0" applyNumberFormat="1" applyFont="1" applyBorder="1" applyProtection="1">
      <protection locked="0"/>
    </xf>
    <xf numFmtId="0" fontId="3" fillId="2" borderId="87" xfId="0" applyFont="1" applyFill="1" applyBorder="1" applyProtection="1">
      <protection locked="0"/>
    </xf>
    <xf numFmtId="14" fontId="10" fillId="2" borderId="69" xfId="0" applyNumberFormat="1" applyFont="1" applyFill="1" applyBorder="1" applyAlignment="1" applyProtection="1">
      <alignment horizontal="right"/>
      <protection locked="0"/>
    </xf>
    <xf numFmtId="0" fontId="0" fillId="0" borderId="0" xfId="0" applyAlignment="1">
      <alignment horizontal="left" vertical="center"/>
    </xf>
    <xf numFmtId="0" fontId="0" fillId="0" borderId="0" xfId="0" applyAlignment="1">
      <alignment horizontal="right" wrapText="1"/>
    </xf>
    <xf numFmtId="1" fontId="34" fillId="0" borderId="0" xfId="0" applyNumberFormat="1" applyFont="1"/>
    <xf numFmtId="0" fontId="34" fillId="0" borderId="0" xfId="0" applyFont="1" applyAlignment="1">
      <alignment horizontal="center"/>
    </xf>
    <xf numFmtId="10" fontId="0" fillId="0" borderId="0" xfId="1" applyNumberFormat="1" applyFont="1"/>
    <xf numFmtId="10" fontId="0" fillId="5" borderId="0" xfId="1" applyNumberFormat="1" applyFont="1" applyFill="1"/>
    <xf numFmtId="0" fontId="0" fillId="0" borderId="0" xfId="0" applyAlignment="1">
      <alignment horizontal="justify" wrapText="1"/>
    </xf>
    <xf numFmtId="0" fontId="0" fillId="8" borderId="9" xfId="0" applyFont="1" applyFill="1" applyBorder="1" applyAlignment="1">
      <alignment horizontal="center" vertical="center"/>
    </xf>
    <xf numFmtId="0" fontId="0" fillId="0" borderId="0" xfId="0" applyAlignment="1">
      <alignment horizontal="left" wrapText="1"/>
    </xf>
    <xf numFmtId="0" fontId="0" fillId="2" borderId="9" xfId="0" applyFill="1" applyBorder="1" applyAlignment="1">
      <alignment horizontal="center" vertical="center"/>
    </xf>
    <xf numFmtId="0" fontId="0" fillId="8" borderId="9" xfId="0" applyFont="1" applyFill="1" applyBorder="1" applyAlignment="1">
      <alignment horizontal="left" wrapText="1"/>
    </xf>
    <xf numFmtId="0" fontId="71" fillId="8" borderId="11" xfId="0" applyFont="1" applyFill="1" applyBorder="1" applyAlignment="1">
      <alignment horizontal="left" vertical="center" wrapText="1"/>
    </xf>
    <xf numFmtId="0" fontId="71" fillId="8" borderId="0" xfId="0" applyFont="1" applyFill="1" applyBorder="1" applyAlignment="1">
      <alignment horizontal="left" vertical="center" wrapText="1"/>
    </xf>
    <xf numFmtId="0" fontId="71" fillId="8" borderId="12" xfId="0" applyFont="1" applyFill="1" applyBorder="1" applyAlignment="1">
      <alignment horizontal="left" vertical="center" wrapText="1"/>
    </xf>
    <xf numFmtId="0" fontId="71" fillId="8" borderId="21" xfId="0" applyFont="1" applyFill="1" applyBorder="1" applyAlignment="1">
      <alignment horizontal="left" vertical="center" wrapText="1"/>
    </xf>
    <xf numFmtId="0" fontId="71" fillId="8" borderId="18" xfId="0" applyFont="1" applyFill="1" applyBorder="1" applyAlignment="1">
      <alignment horizontal="left" vertical="center" wrapText="1"/>
    </xf>
    <xf numFmtId="0" fontId="71" fillId="8" borderId="23" xfId="0" applyFont="1" applyFill="1" applyBorder="1" applyAlignment="1">
      <alignment horizontal="left" vertical="center" wrapText="1"/>
    </xf>
    <xf numFmtId="0" fontId="0" fillId="8" borderId="9" xfId="0" applyFill="1" applyBorder="1" applyAlignment="1">
      <alignment horizontal="center" vertical="center"/>
    </xf>
    <xf numFmtId="0" fontId="0" fillId="8" borderId="9" xfId="0" applyFont="1" applyFill="1" applyBorder="1" applyAlignment="1">
      <alignment horizontal="left"/>
    </xf>
    <xf numFmtId="0" fontId="0" fillId="8" borderId="10" xfId="0" applyFont="1" applyFill="1" applyBorder="1" applyAlignment="1">
      <alignment horizontal="left"/>
    </xf>
    <xf numFmtId="0" fontId="0" fillId="8" borderId="9" xfId="0" applyFont="1" applyFill="1" applyBorder="1" applyAlignment="1"/>
    <xf numFmtId="0" fontId="0" fillId="8" borderId="10" xfId="0" applyFont="1" applyFill="1" applyBorder="1" applyAlignment="1"/>
    <xf numFmtId="0" fontId="0" fillId="8" borderId="20" xfId="0" applyFont="1" applyFill="1" applyBorder="1" applyAlignment="1">
      <alignment horizontal="left"/>
    </xf>
    <xf numFmtId="0" fontId="0" fillId="8" borderId="17" xfId="0" applyFont="1" applyFill="1" applyBorder="1" applyAlignment="1">
      <alignment horizontal="left"/>
    </xf>
    <xf numFmtId="0" fontId="0" fillId="8" borderId="22" xfId="0" applyFont="1" applyFill="1" applyBorder="1" applyAlignment="1">
      <alignment horizontal="left"/>
    </xf>
    <xf numFmtId="0" fontId="0" fillId="2" borderId="20" xfId="0" applyFill="1" applyBorder="1" applyAlignment="1">
      <alignment horizontal="left"/>
    </xf>
    <xf numFmtId="0" fontId="0" fillId="2" borderId="17" xfId="0" applyFill="1" applyBorder="1" applyAlignment="1">
      <alignment horizontal="left"/>
    </xf>
    <xf numFmtId="0" fontId="0" fillId="2" borderId="22" xfId="0" applyFill="1" applyBorder="1" applyAlignment="1">
      <alignment horizontal="left"/>
    </xf>
    <xf numFmtId="0" fontId="3" fillId="2" borderId="11" xfId="0" applyFont="1" applyFill="1" applyBorder="1" applyAlignment="1">
      <alignment horizontal="left"/>
    </xf>
    <xf numFmtId="0" fontId="3" fillId="2" borderId="0" xfId="0" applyFont="1" applyFill="1" applyBorder="1" applyAlignment="1">
      <alignment horizontal="left"/>
    </xf>
    <xf numFmtId="0" fontId="3" fillId="2" borderId="12" xfId="0" applyFont="1" applyFill="1" applyBorder="1" applyAlignment="1">
      <alignment horizontal="left"/>
    </xf>
    <xf numFmtId="0" fontId="3" fillId="2" borderId="21" xfId="0" applyFont="1" applyFill="1" applyBorder="1" applyAlignment="1">
      <alignment horizontal="left"/>
    </xf>
    <xf numFmtId="0" fontId="3" fillId="2" borderId="18" xfId="0" applyFont="1" applyFill="1" applyBorder="1" applyAlignment="1">
      <alignment horizontal="left"/>
    </xf>
    <xf numFmtId="0" fontId="3" fillId="2" borderId="23" xfId="0" applyFont="1" applyFill="1" applyBorder="1" applyAlignment="1">
      <alignment horizontal="left"/>
    </xf>
    <xf numFmtId="0" fontId="65" fillId="7" borderId="9" xfId="0" applyFont="1" applyFill="1" applyBorder="1" applyAlignment="1">
      <alignment horizontal="center" vertical="center" wrapText="1"/>
    </xf>
    <xf numFmtId="0" fontId="0" fillId="0" borderId="0" xfId="0" applyAlignment="1">
      <alignment horizontal="justify" vertical="top" wrapText="1"/>
    </xf>
    <xf numFmtId="0" fontId="0" fillId="0" borderId="0" xfId="0" applyAlignment="1">
      <alignment horizontal="left"/>
    </xf>
    <xf numFmtId="0" fontId="5" fillId="4" borderId="0" xfId="0" applyFont="1" applyFill="1" applyAlignment="1">
      <alignment horizontal="center" vertical="center" wrapText="1"/>
    </xf>
    <xf numFmtId="0" fontId="68" fillId="0" borderId="0" xfId="0" applyFont="1" applyAlignment="1">
      <alignment horizontal="justify" vertical="center" wrapText="1"/>
    </xf>
    <xf numFmtId="0" fontId="0" fillId="2" borderId="20" xfId="0" applyFill="1" applyBorder="1" applyAlignment="1">
      <alignment horizontal="justify" vertical="center" wrapText="1"/>
    </xf>
    <xf numFmtId="0" fontId="0" fillId="2" borderId="17" xfId="0" applyFill="1" applyBorder="1" applyAlignment="1">
      <alignment horizontal="justify" vertical="center" wrapText="1"/>
    </xf>
    <xf numFmtId="0" fontId="0" fillId="2" borderId="22" xfId="0" applyFill="1" applyBorder="1" applyAlignment="1">
      <alignment horizontal="justify" vertical="center" wrapText="1"/>
    </xf>
    <xf numFmtId="0" fontId="0" fillId="2" borderId="11" xfId="0" applyFill="1" applyBorder="1" applyAlignment="1">
      <alignment horizontal="justify" vertical="center" wrapText="1"/>
    </xf>
    <xf numFmtId="0" fontId="0" fillId="2" borderId="0" xfId="0" applyFill="1" applyBorder="1" applyAlignment="1">
      <alignment horizontal="justify" vertical="center" wrapText="1"/>
    </xf>
    <xf numFmtId="0" fontId="0" fillId="2" borderId="12" xfId="0" applyFill="1" applyBorder="1" applyAlignment="1">
      <alignment horizontal="justify" vertical="center" wrapText="1"/>
    </xf>
    <xf numFmtId="0" fontId="0" fillId="2" borderId="21" xfId="0" applyFill="1" applyBorder="1" applyAlignment="1">
      <alignment horizontal="justify" vertical="center" wrapText="1"/>
    </xf>
    <xf numFmtId="0" fontId="0" fillId="2" borderId="18" xfId="0" applyFill="1" applyBorder="1" applyAlignment="1">
      <alignment horizontal="justify" vertical="center" wrapText="1"/>
    </xf>
    <xf numFmtId="0" fontId="0" fillId="2" borderId="23" xfId="0" applyFill="1" applyBorder="1" applyAlignment="1">
      <alignment horizontal="justify" vertical="center" wrapText="1"/>
    </xf>
    <xf numFmtId="0" fontId="0" fillId="2" borderId="9" xfId="0" applyFill="1" applyBorder="1" applyAlignment="1">
      <alignment horizontal="center" vertical="center" wrapText="1"/>
    </xf>
    <xf numFmtId="0" fontId="65" fillId="7" borderId="9" xfId="0" applyFont="1" applyFill="1" applyBorder="1" applyAlignment="1">
      <alignment horizontal="center" wrapText="1"/>
    </xf>
    <xf numFmtId="0" fontId="0" fillId="8" borderId="9" xfId="0" applyFill="1" applyBorder="1" applyAlignment="1">
      <alignment horizontal="center" vertical="center" wrapText="1"/>
    </xf>
    <xf numFmtId="0" fontId="0" fillId="8" borderId="20" xfId="0" applyFill="1" applyBorder="1" applyAlignment="1">
      <alignment horizontal="justify" wrapText="1"/>
    </xf>
    <xf numFmtId="0" fontId="0" fillId="8" borderId="17" xfId="0" applyFill="1" applyBorder="1" applyAlignment="1">
      <alignment horizontal="justify" wrapText="1"/>
    </xf>
    <xf numFmtId="0" fontId="0" fillId="8" borderId="22" xfId="0" applyFill="1" applyBorder="1" applyAlignment="1">
      <alignment horizontal="justify" wrapText="1"/>
    </xf>
    <xf numFmtId="0" fontId="0" fillId="8" borderId="11" xfId="0" applyFill="1" applyBorder="1" applyAlignment="1">
      <alignment horizontal="justify" wrapText="1"/>
    </xf>
    <xf numFmtId="0" fontId="0" fillId="8" borderId="0" xfId="0" applyFill="1" applyBorder="1" applyAlignment="1">
      <alignment horizontal="justify" wrapText="1"/>
    </xf>
    <xf numFmtId="0" fontId="0" fillId="8" borderId="12" xfId="0" applyFill="1" applyBorder="1" applyAlignment="1">
      <alignment horizontal="justify" wrapText="1"/>
    </xf>
    <xf numFmtId="0" fontId="0" fillId="8" borderId="21" xfId="0" applyFill="1" applyBorder="1" applyAlignment="1">
      <alignment horizontal="justify" wrapText="1"/>
    </xf>
    <xf numFmtId="0" fontId="0" fillId="8" borderId="18" xfId="0" applyFill="1" applyBorder="1" applyAlignment="1">
      <alignment horizontal="justify" wrapText="1"/>
    </xf>
    <xf numFmtId="0" fontId="0" fillId="8" borderId="23" xfId="0" applyFill="1" applyBorder="1" applyAlignment="1">
      <alignment horizontal="justify" wrapText="1"/>
    </xf>
    <xf numFmtId="0" fontId="65" fillId="7" borderId="20" xfId="0" applyFont="1" applyFill="1" applyBorder="1" applyAlignment="1">
      <alignment horizontal="center" vertical="center" wrapText="1"/>
    </xf>
    <xf numFmtId="0" fontId="65" fillId="7" borderId="17" xfId="0" applyFont="1" applyFill="1" applyBorder="1" applyAlignment="1">
      <alignment horizontal="center" vertical="center" wrapText="1"/>
    </xf>
    <xf numFmtId="0" fontId="65" fillId="7" borderId="22" xfId="0" applyFont="1" applyFill="1" applyBorder="1" applyAlignment="1">
      <alignment horizontal="center" vertical="center" wrapText="1"/>
    </xf>
    <xf numFmtId="0" fontId="65" fillId="7" borderId="21" xfId="0" applyFont="1" applyFill="1" applyBorder="1" applyAlignment="1">
      <alignment horizontal="center" vertical="center" wrapText="1"/>
    </xf>
    <xf numFmtId="0" fontId="65" fillId="7" borderId="18" xfId="0" applyFont="1" applyFill="1" applyBorder="1" applyAlignment="1">
      <alignment horizontal="center" vertical="center" wrapText="1"/>
    </xf>
    <xf numFmtId="0" fontId="65" fillId="7" borderId="23" xfId="0" applyFont="1" applyFill="1" applyBorder="1" applyAlignment="1">
      <alignment horizontal="center" vertical="center" wrapText="1"/>
    </xf>
    <xf numFmtId="0" fontId="5" fillId="4" borderId="0" xfId="0" applyFont="1" applyFill="1" applyAlignment="1">
      <alignment horizontal="center" vertical="center"/>
    </xf>
    <xf numFmtId="0" fontId="21" fillId="2" borderId="0" xfId="5" applyFill="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0" xfId="0" applyFill="1" applyAlignment="1" applyProtection="1">
      <alignment horizontal="left"/>
      <protection locked="0"/>
    </xf>
    <xf numFmtId="3" fontId="0" fillId="2" borderId="0" xfId="0" applyNumberFormat="1" applyFill="1" applyAlignment="1" applyProtection="1">
      <alignment horizontal="left" vertical="center"/>
      <protection locked="0"/>
    </xf>
    <xf numFmtId="0" fontId="0" fillId="2" borderId="60" xfId="0" applyFill="1" applyBorder="1" applyAlignment="1" applyProtection="1">
      <alignment horizontal="left"/>
      <protection locked="0"/>
    </xf>
    <xf numFmtId="0" fontId="0" fillId="2" borderId="61" xfId="0" applyFill="1" applyBorder="1" applyAlignment="1" applyProtection="1">
      <alignment horizontal="left"/>
      <protection locked="0"/>
    </xf>
    <xf numFmtId="0" fontId="0" fillId="2" borderId="60" xfId="0" applyFill="1" applyBorder="1" applyAlignment="1" applyProtection="1">
      <alignment wrapText="1"/>
      <protection locked="0"/>
    </xf>
    <xf numFmtId="0" fontId="0" fillId="0" borderId="61" xfId="0" applyBorder="1" applyAlignment="1" applyProtection="1">
      <alignment wrapText="1"/>
      <protection locked="0"/>
    </xf>
    <xf numFmtId="17" fontId="0" fillId="2" borderId="0" xfId="0" applyNumberFormat="1" applyFill="1" applyAlignment="1" applyProtection="1">
      <alignment horizontal="left" vertical="center"/>
      <protection locked="0"/>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Border="1" applyAlignment="1">
      <alignment horizontal="center" vertical="center"/>
    </xf>
    <xf numFmtId="0" fontId="20" fillId="0" borderId="11" xfId="0" applyFont="1" applyBorder="1" applyAlignment="1">
      <alignment horizontal="center" vertical="center"/>
    </xf>
    <xf numFmtId="0" fontId="20" fillId="0" borderId="21" xfId="0" applyFont="1" applyBorder="1" applyAlignment="1">
      <alignment horizontal="center" vertical="center"/>
    </xf>
    <xf numFmtId="0" fontId="20" fillId="0" borderId="12" xfId="0" applyFont="1" applyBorder="1" applyAlignment="1">
      <alignment horizontal="center" vertical="center"/>
    </xf>
    <xf numFmtId="0" fontId="20" fillId="0" borderId="18" xfId="0" applyFont="1" applyBorder="1" applyAlignment="1">
      <alignment horizontal="center" vertical="center"/>
    </xf>
    <xf numFmtId="0" fontId="3" fillId="0" borderId="18" xfId="0" applyFont="1" applyBorder="1" applyAlignment="1">
      <alignment horizontal="center"/>
    </xf>
    <xf numFmtId="0" fontId="3" fillId="0" borderId="15" xfId="0" applyFont="1" applyFill="1" applyBorder="1" applyAlignment="1">
      <alignment horizontal="center"/>
    </xf>
    <xf numFmtId="0" fontId="3" fillId="2" borderId="78" xfId="0" applyFont="1" applyFill="1" applyBorder="1" applyAlignment="1" applyProtection="1">
      <alignment horizontal="center"/>
      <protection locked="0"/>
    </xf>
    <xf numFmtId="0" fontId="3" fillId="2" borderId="79" xfId="0" applyFont="1" applyFill="1" applyBorder="1" applyAlignment="1" applyProtection="1">
      <alignment horizontal="center"/>
      <protection locked="0"/>
    </xf>
    <xf numFmtId="0" fontId="3" fillId="0" borderId="11" xfId="0" applyFont="1" applyBorder="1" applyAlignment="1">
      <alignment horizontal="left"/>
    </xf>
    <xf numFmtId="0" fontId="3" fillId="0" borderId="12" xfId="0" applyFont="1" applyBorder="1" applyAlignment="1">
      <alignment horizontal="left"/>
    </xf>
    <xf numFmtId="0" fontId="3" fillId="0" borderId="10" xfId="0" applyFont="1" applyBorder="1" applyAlignment="1">
      <alignment horizontal="left"/>
    </xf>
    <xf numFmtId="0" fontId="3" fillId="0" borderId="13" xfId="0" applyFont="1" applyBorder="1" applyAlignment="1">
      <alignment horizontal="left"/>
    </xf>
    <xf numFmtId="0" fontId="3" fillId="0" borderId="19" xfId="0" applyFont="1" applyBorder="1" applyAlignment="1">
      <alignment horizontal="left"/>
    </xf>
    <xf numFmtId="0" fontId="3" fillId="2" borderId="62" xfId="0" applyFont="1" applyFill="1" applyBorder="1" applyAlignment="1" applyProtection="1">
      <alignment horizontal="center"/>
      <protection locked="0"/>
    </xf>
    <xf numFmtId="0" fontId="3" fillId="2" borderId="64" xfId="0" applyFont="1" applyFill="1" applyBorder="1" applyAlignment="1" applyProtection="1">
      <alignment horizontal="center"/>
      <protection locked="0"/>
    </xf>
    <xf numFmtId="0" fontId="3" fillId="2" borderId="65" xfId="0" applyFont="1" applyFill="1" applyBorder="1" applyAlignment="1" applyProtection="1">
      <alignment horizontal="center"/>
      <protection locked="0"/>
    </xf>
    <xf numFmtId="0" fontId="3" fillId="2" borderId="66" xfId="0" applyFont="1" applyFill="1" applyBorder="1" applyAlignment="1" applyProtection="1">
      <alignment horizontal="center"/>
      <protection locked="0"/>
    </xf>
    <xf numFmtId="0" fontId="3" fillId="0" borderId="10" xfId="0" applyFont="1" applyBorder="1" applyAlignment="1">
      <alignment horizontal="center"/>
    </xf>
    <xf numFmtId="0" fontId="3" fillId="0" borderId="19" xfId="0" applyFont="1" applyBorder="1" applyAlignment="1">
      <alignment horizontal="center"/>
    </xf>
    <xf numFmtId="0" fontId="10" fillId="0" borderId="11" xfId="0" applyFont="1" applyFill="1" applyBorder="1" applyAlignment="1" applyProtection="1">
      <alignment horizontal="center"/>
      <protection locked="0"/>
    </xf>
    <xf numFmtId="0" fontId="10" fillId="0" borderId="12" xfId="0" applyFont="1" applyFill="1" applyBorder="1" applyAlignment="1" applyProtection="1">
      <alignment horizontal="center"/>
      <protection locked="0"/>
    </xf>
    <xf numFmtId="0" fontId="3" fillId="2" borderId="60" xfId="0" applyFont="1" applyFill="1" applyBorder="1" applyAlignment="1" applyProtection="1">
      <alignment horizontal="center"/>
      <protection locked="0"/>
    </xf>
    <xf numFmtId="0" fontId="3" fillId="2" borderId="61" xfId="0" applyFont="1" applyFill="1" applyBorder="1" applyAlignment="1" applyProtection="1">
      <alignment horizontal="center"/>
      <protection locked="0"/>
    </xf>
    <xf numFmtId="0" fontId="3" fillId="0" borderId="20" xfId="0" applyFont="1" applyBorder="1" applyAlignment="1">
      <alignment horizontal="center"/>
    </xf>
    <xf numFmtId="0" fontId="3" fillId="0" borderId="22" xfId="0" applyFont="1" applyBorder="1" applyAlignment="1">
      <alignment horizontal="center"/>
    </xf>
    <xf numFmtId="0" fontId="3" fillId="0" borderId="9" xfId="0" applyFont="1" applyBorder="1" applyAlignment="1"/>
    <xf numFmtId="0" fontId="3" fillId="0" borderId="15" xfId="0" applyFont="1" applyBorder="1" applyAlignment="1">
      <alignment horizontal="center"/>
    </xf>
    <xf numFmtId="0" fontId="3" fillId="2" borderId="80" xfId="0" applyFont="1" applyFill="1" applyBorder="1" applyAlignment="1" applyProtection="1">
      <alignment horizontal="center"/>
      <protection locked="0"/>
    </xf>
    <xf numFmtId="0" fontId="3" fillId="0" borderId="21" xfId="0" applyFont="1" applyFill="1" applyBorder="1" applyAlignment="1">
      <alignment horizontal="center"/>
    </xf>
    <xf numFmtId="0" fontId="3" fillId="0" borderId="23" xfId="0" applyFont="1" applyFill="1" applyBorder="1" applyAlignment="1">
      <alignment horizontal="center"/>
    </xf>
    <xf numFmtId="0" fontId="3" fillId="0" borderId="16"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21" xfId="0" applyFont="1" applyBorder="1" applyAlignment="1">
      <alignment horizontal="center"/>
    </xf>
    <xf numFmtId="0" fontId="3" fillId="0" borderId="23" xfId="0" applyFont="1" applyBorder="1" applyAlignment="1">
      <alignment horizontal="center"/>
    </xf>
    <xf numFmtId="0" fontId="3" fillId="0" borderId="11"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0" fontId="3" fillId="0" borderId="9" xfId="0" applyFont="1" applyBorder="1" applyAlignment="1">
      <alignment horizontal="left"/>
    </xf>
    <xf numFmtId="0" fontId="3" fillId="0" borderId="14" xfId="0" applyFont="1" applyFill="1" applyBorder="1" applyAlignment="1">
      <alignment horizontal="center"/>
    </xf>
    <xf numFmtId="0" fontId="10" fillId="0" borderId="14" xfId="0" applyFont="1" applyBorder="1" applyAlignment="1">
      <alignment horizont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4" fillId="0" borderId="0" xfId="0" applyFont="1" applyAlignment="1">
      <alignment wrapText="1"/>
    </xf>
    <xf numFmtId="0" fontId="3" fillId="0" borderId="0" xfId="0" applyFont="1" applyAlignment="1"/>
    <xf numFmtId="0" fontId="3" fillId="2" borderId="9" xfId="0" applyFont="1" applyFill="1" applyBorder="1" applyAlignment="1" applyProtection="1">
      <alignment horizontal="center"/>
      <protection locked="0"/>
    </xf>
    <xf numFmtId="0" fontId="3" fillId="2" borderId="68" xfId="0" applyFont="1" applyFill="1" applyBorder="1" applyAlignment="1" applyProtection="1">
      <alignment horizontal="center"/>
      <protection locked="0"/>
    </xf>
    <xf numFmtId="0" fontId="3" fillId="2" borderId="69" xfId="0" applyFont="1" applyFill="1" applyBorder="1" applyAlignment="1" applyProtection="1">
      <alignment horizontal="center"/>
      <protection locked="0"/>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19" fillId="0" borderId="18" xfId="0" applyFont="1" applyBorder="1" applyAlignment="1">
      <alignment horizontal="center" vertical="center"/>
    </xf>
    <xf numFmtId="0" fontId="10" fillId="0" borderId="15" xfId="0" applyFont="1" applyBorder="1" applyAlignment="1">
      <alignment horizontal="center"/>
    </xf>
    <xf numFmtId="0" fontId="3" fillId="2" borderId="60" xfId="0" applyFont="1" applyFill="1" applyBorder="1" applyAlignment="1" applyProtection="1">
      <alignment horizontal="left"/>
      <protection locked="0"/>
    </xf>
    <xf numFmtId="0" fontId="3" fillId="2" borderId="61" xfId="0" applyFont="1" applyFill="1" applyBorder="1" applyAlignment="1" applyProtection="1">
      <alignment horizontal="left"/>
      <protection locked="0"/>
    </xf>
    <xf numFmtId="0" fontId="3" fillId="0" borderId="20" xfId="0" applyFont="1" applyBorder="1" applyAlignment="1">
      <alignment horizontal="left"/>
    </xf>
    <xf numFmtId="0" fontId="3" fillId="0" borderId="22" xfId="0" applyFont="1" applyBorder="1" applyAlignment="1">
      <alignment horizontal="left"/>
    </xf>
    <xf numFmtId="0" fontId="10" fillId="0" borderId="11" xfId="0" applyFont="1" applyFill="1" applyBorder="1" applyAlignment="1">
      <alignment horizontal="center"/>
    </xf>
    <xf numFmtId="0" fontId="10" fillId="0" borderId="12" xfId="0" applyFont="1" applyFill="1" applyBorder="1" applyAlignment="1">
      <alignment horizontal="center"/>
    </xf>
    <xf numFmtId="0" fontId="3" fillId="2" borderId="63" xfId="0" applyFont="1" applyFill="1" applyBorder="1" applyAlignment="1" applyProtection="1">
      <alignment horizontal="center"/>
      <protection locked="0"/>
    </xf>
    <xf numFmtId="0" fontId="10" fillId="0" borderId="11" xfId="0" applyFont="1" applyBorder="1" applyAlignment="1">
      <alignment horizontal="center"/>
    </xf>
    <xf numFmtId="0" fontId="10" fillId="0" borderId="0" xfId="0" applyFont="1" applyBorder="1" applyAlignment="1">
      <alignment horizontal="center"/>
    </xf>
    <xf numFmtId="0" fontId="3" fillId="0" borderId="10" xfId="0" applyFont="1" applyBorder="1" applyAlignment="1"/>
    <xf numFmtId="0" fontId="3" fillId="0" borderId="9" xfId="0" applyFont="1" applyFill="1" applyBorder="1" applyAlignment="1"/>
    <xf numFmtId="0" fontId="3" fillId="0" borderId="10" xfId="0" applyFont="1" applyFill="1" applyBorder="1" applyAlignment="1"/>
    <xf numFmtId="0" fontId="3" fillId="0" borderId="14" xfId="0" applyFont="1" applyFill="1" applyBorder="1" applyAlignment="1"/>
    <xf numFmtId="0" fontId="3" fillId="0" borderId="20" xfId="0" applyFont="1" applyFill="1" applyBorder="1" applyAlignment="1"/>
    <xf numFmtId="0" fontId="3" fillId="0" borderId="9" xfId="0" applyFont="1" applyFill="1" applyBorder="1" applyAlignment="1">
      <alignment horizontal="center"/>
    </xf>
    <xf numFmtId="0" fontId="3" fillId="0" borderId="10" xfId="0" applyFont="1" applyFill="1" applyBorder="1" applyAlignment="1">
      <alignment horizontal="left"/>
    </xf>
    <xf numFmtId="0" fontId="3" fillId="0" borderId="13" xfId="0" applyFont="1" applyFill="1" applyBorder="1" applyAlignment="1">
      <alignment horizontal="left"/>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Fill="1" applyBorder="1" applyAlignment="1">
      <alignment horizontal="left"/>
    </xf>
    <xf numFmtId="0" fontId="3" fillId="2" borderId="60" xfId="0" applyFont="1" applyFill="1" applyBorder="1" applyAlignment="1" applyProtection="1">
      <alignment horizontal="center" vertical="center"/>
      <protection locked="0"/>
    </xf>
    <xf numFmtId="0" fontId="3" fillId="2" borderId="61" xfId="0" applyFont="1" applyFill="1" applyBorder="1" applyAlignment="1" applyProtection="1">
      <alignment horizontal="center" vertical="center"/>
      <protection locked="0"/>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Border="1" applyAlignment="1"/>
    <xf numFmtId="0" fontId="3" fillId="0" borderId="12" xfId="0" applyFont="1" applyBorder="1" applyAlignment="1"/>
    <xf numFmtId="0" fontId="3" fillId="2" borderId="67" xfId="0" applyFont="1" applyFill="1" applyBorder="1" applyAlignment="1" applyProtection="1">
      <alignment horizontal="center"/>
      <protection locked="0"/>
    </xf>
    <xf numFmtId="0" fontId="3" fillId="0" borderId="16" xfId="0" applyFont="1" applyFill="1" applyBorder="1" applyAlignment="1">
      <alignment horizontal="center"/>
    </xf>
    <xf numFmtId="0" fontId="3" fillId="0" borderId="20" xfId="0" applyFont="1" applyFill="1" applyBorder="1" applyAlignment="1">
      <alignment horizontal="center"/>
    </xf>
    <xf numFmtId="0" fontId="3" fillId="0" borderId="22" xfId="0" applyFont="1" applyFill="1" applyBorder="1" applyAlignment="1">
      <alignment horizontal="center"/>
    </xf>
    <xf numFmtId="0" fontId="3" fillId="0" borderId="14" xfId="0" applyFont="1" applyBorder="1" applyAlignment="1">
      <alignment horizont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19" fillId="0" borderId="2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8" xfId="0" applyFont="1" applyBorder="1" applyAlignment="1">
      <alignment horizontal="center" vertical="center" wrapText="1"/>
    </xf>
    <xf numFmtId="0" fontId="10" fillId="0" borderId="15" xfId="0" applyFont="1" applyFill="1" applyBorder="1" applyAlignment="1">
      <alignment horizontal="center"/>
    </xf>
    <xf numFmtId="0" fontId="10" fillId="0" borderId="0" xfId="0" applyFont="1" applyAlignment="1">
      <alignment horizontal="center"/>
    </xf>
    <xf numFmtId="0" fontId="3" fillId="0" borderId="0" xfId="0" applyFont="1" applyAlignment="1">
      <alignment horizontal="left" vertical="top" wrapText="1"/>
    </xf>
    <xf numFmtId="0" fontId="3" fillId="0" borderId="30" xfId="0" applyFont="1" applyBorder="1" applyAlignment="1">
      <alignment horizontal="left"/>
    </xf>
    <xf numFmtId="0" fontId="3" fillId="0" borderId="46" xfId="0" applyFont="1" applyBorder="1" applyAlignment="1">
      <alignment horizontal="left"/>
    </xf>
    <xf numFmtId="0" fontId="10" fillId="0" borderId="0" xfId="0" applyFont="1" applyAlignment="1">
      <alignment horizontal="left" vertical="center" wrapText="1"/>
    </xf>
    <xf numFmtId="0" fontId="10" fillId="0" borderId="0" xfId="0" applyFont="1" applyAlignment="1">
      <alignment vertical="center" wrapText="1"/>
    </xf>
    <xf numFmtId="0" fontId="31" fillId="4" borderId="49" xfId="0" applyFont="1" applyFill="1" applyBorder="1" applyAlignment="1">
      <alignment horizontal="center" textRotation="90"/>
    </xf>
    <xf numFmtId="0" fontId="16" fillId="4" borderId="50" xfId="6" applyFont="1" applyFill="1" applyBorder="1" applyAlignment="1" applyProtection="1">
      <alignment horizontal="left"/>
    </xf>
    <xf numFmtId="0" fontId="16" fillId="4" borderId="0" xfId="6" applyFont="1" applyFill="1" applyBorder="1" applyAlignment="1" applyProtection="1">
      <alignment horizontal="left"/>
    </xf>
    <xf numFmtId="0" fontId="3" fillId="0" borderId="50" xfId="6" applyFont="1" applyBorder="1" applyAlignment="1" applyProtection="1">
      <alignment horizontal="left"/>
    </xf>
    <xf numFmtId="0" fontId="3" fillId="0" borderId="0" xfId="6" applyFont="1" applyBorder="1" applyAlignment="1" applyProtection="1">
      <alignment horizontal="left"/>
    </xf>
    <xf numFmtId="0" fontId="3" fillId="2" borderId="0" xfId="6" applyFont="1" applyFill="1" applyBorder="1" applyAlignment="1" applyProtection="1">
      <alignment horizontal="center"/>
      <protection locked="0"/>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30" xfId="0" applyFont="1" applyBorder="1" applyAlignment="1">
      <alignment horizontal="left" vertical="center"/>
    </xf>
    <xf numFmtId="0" fontId="3" fillId="0" borderId="81" xfId="0" applyFont="1" applyBorder="1" applyAlignment="1">
      <alignment horizontal="left" vertical="center"/>
    </xf>
    <xf numFmtId="0" fontId="32" fillId="0" borderId="0" xfId="0" applyFont="1" applyAlignment="1">
      <alignment horizontal="left" vertical="top"/>
    </xf>
    <xf numFmtId="0" fontId="5" fillId="4" borderId="0" xfId="0" applyFont="1" applyFill="1" applyAlignment="1">
      <alignment horizontal="left" vertical="center" wrapText="1"/>
    </xf>
    <xf numFmtId="0" fontId="37" fillId="3" borderId="54" xfId="0" applyFont="1" applyFill="1" applyBorder="1" applyAlignment="1">
      <alignment horizontal="center" vertical="center" textRotation="90"/>
    </xf>
    <xf numFmtId="0" fontId="37" fillId="3" borderId="49" xfId="0" applyFont="1" applyFill="1" applyBorder="1" applyAlignment="1">
      <alignment horizontal="center" vertical="center" textRotation="90"/>
    </xf>
    <xf numFmtId="0" fontId="3" fillId="2" borderId="0" xfId="0" applyFont="1" applyFill="1" applyBorder="1" applyAlignment="1" applyProtection="1">
      <alignment horizontal="center"/>
      <protection locked="0"/>
    </xf>
    <xf numFmtId="166" fontId="41" fillId="0" borderId="11" xfId="2" applyNumberFormat="1" applyFont="1" applyFill="1" applyBorder="1" applyAlignment="1" applyProtection="1">
      <alignment horizontal="center"/>
      <protection locked="0"/>
    </xf>
    <xf numFmtId="166" fontId="10" fillId="0" borderId="0" xfId="0" applyNumberFormat="1" applyFont="1" applyBorder="1" applyAlignment="1"/>
    <xf numFmtId="166" fontId="10" fillId="0" borderId="12" xfId="0" applyNumberFormat="1" applyFont="1" applyBorder="1" applyAlignment="1"/>
    <xf numFmtId="166" fontId="41" fillId="0" borderId="50" xfId="6" applyNumberFormat="1" applyFont="1" applyBorder="1" applyAlignment="1" applyProtection="1">
      <alignment horizontal="left"/>
      <protection locked="0"/>
    </xf>
    <xf numFmtId="166" fontId="41" fillId="0" borderId="0" xfId="6" applyNumberFormat="1" applyFont="1" applyBorder="1" applyAlignment="1" applyProtection="1">
      <alignment horizontal="left"/>
      <protection locked="0"/>
    </xf>
    <xf numFmtId="166" fontId="41" fillId="0" borderId="12" xfId="6" applyNumberFormat="1" applyFont="1" applyBorder="1" applyAlignment="1" applyProtection="1">
      <alignment horizontal="left"/>
      <protection locked="0"/>
    </xf>
    <xf numFmtId="0" fontId="3" fillId="0" borderId="0" xfId="0" applyFont="1" applyAlignment="1">
      <alignment horizontal="left" wrapText="1"/>
    </xf>
    <xf numFmtId="0" fontId="3" fillId="2" borderId="10" xfId="0" applyFont="1" applyFill="1" applyBorder="1" applyAlignment="1" applyProtection="1">
      <alignment horizontal="center"/>
      <protection locked="0"/>
    </xf>
    <xf numFmtId="0" fontId="3" fillId="2" borderId="13" xfId="0"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0" fontId="3" fillId="0" borderId="0" xfId="0" applyFont="1" applyFill="1" applyBorder="1" applyAlignment="1">
      <alignment horizontal="left"/>
    </xf>
    <xf numFmtId="0" fontId="3" fillId="0" borderId="10" xfId="0" applyFont="1" applyFill="1" applyBorder="1" applyAlignment="1">
      <alignment horizontal="center"/>
    </xf>
    <xf numFmtId="0" fontId="3" fillId="0" borderId="13" xfId="0" applyFont="1" applyFill="1" applyBorder="1" applyAlignment="1">
      <alignment horizontal="center"/>
    </xf>
    <xf numFmtId="0" fontId="3" fillId="0" borderId="19" xfId="0" applyFont="1" applyFill="1" applyBorder="1" applyAlignment="1">
      <alignment horizontal="center"/>
    </xf>
    <xf numFmtId="0" fontId="3" fillId="0" borderId="9" xfId="0" applyFont="1" applyBorder="1" applyAlignment="1">
      <alignment horizontal="right"/>
    </xf>
    <xf numFmtId="1" fontId="3" fillId="0" borderId="9" xfId="0" applyNumberFormat="1" applyFont="1" applyBorder="1" applyAlignment="1">
      <alignment horizontal="center"/>
    </xf>
    <xf numFmtId="0" fontId="19" fillId="0" borderId="0" xfId="0" applyFont="1" applyAlignment="1">
      <alignment horizontal="left" vertical="center" wrapText="1"/>
    </xf>
    <xf numFmtId="0" fontId="10" fillId="0" borderId="9" xfId="0" applyFont="1" applyFill="1" applyBorder="1" applyAlignment="1">
      <alignment horizontal="center" wrapText="1"/>
    </xf>
    <xf numFmtId="0" fontId="10" fillId="0" borderId="14" xfId="0" applyFont="1" applyFill="1" applyBorder="1" applyAlignment="1">
      <alignment horizontal="center" wrapText="1"/>
    </xf>
    <xf numFmtId="0" fontId="72" fillId="0" borderId="0" xfId="0" applyFont="1" applyAlignment="1">
      <alignment horizontal="left" vertical="top" wrapText="1"/>
    </xf>
    <xf numFmtId="0" fontId="27" fillId="0" borderId="29" xfId="0" applyFont="1" applyBorder="1" applyAlignment="1">
      <alignment horizontal="left" vertical="center"/>
    </xf>
    <xf numFmtId="0" fontId="27" fillId="0" borderId="30" xfId="0" applyFont="1" applyBorder="1" applyAlignment="1">
      <alignment horizontal="left" vertical="center"/>
    </xf>
    <xf numFmtId="0" fontId="27" fillId="0" borderId="34" xfId="0" applyFont="1" applyBorder="1" applyAlignment="1">
      <alignment horizontal="left" vertical="center"/>
    </xf>
    <xf numFmtId="0" fontId="27" fillId="0" borderId="35" xfId="0" applyFont="1" applyBorder="1" applyAlignment="1">
      <alignment horizontal="left" vertical="center"/>
    </xf>
    <xf numFmtId="0" fontId="27" fillId="0" borderId="39" xfId="0" applyFont="1" applyBorder="1" applyAlignment="1">
      <alignment horizontal="left" vertical="center"/>
    </xf>
    <xf numFmtId="0" fontId="27" fillId="0" borderId="40" xfId="0" applyFont="1" applyBorder="1" applyAlignment="1">
      <alignment horizontal="left" vertical="center"/>
    </xf>
    <xf numFmtId="0" fontId="27" fillId="0" borderId="41" xfId="0" applyFont="1" applyBorder="1" applyAlignment="1">
      <alignment horizontal="left" vertical="center"/>
    </xf>
    <xf numFmtId="0" fontId="27" fillId="0" borderId="42" xfId="0" applyFont="1" applyBorder="1" applyAlignment="1">
      <alignment horizontal="left" vertical="center"/>
    </xf>
    <xf numFmtId="0" fontId="27" fillId="0" borderId="17" xfId="0" applyFont="1" applyBorder="1" applyAlignment="1">
      <alignment horizontal="left" vertical="center"/>
    </xf>
    <xf numFmtId="0" fontId="27" fillId="0" borderId="43" xfId="0" applyFont="1" applyBorder="1" applyAlignment="1">
      <alignment horizontal="left" vertical="center"/>
    </xf>
    <xf numFmtId="0" fontId="27" fillId="0" borderId="4" xfId="0" applyFont="1" applyBorder="1" applyAlignment="1">
      <alignment horizontal="left" vertical="center"/>
    </xf>
    <xf numFmtId="0" fontId="27" fillId="0" borderId="0" xfId="0" applyFont="1" applyBorder="1" applyAlignment="1">
      <alignment horizontal="left" vertical="center"/>
    </xf>
    <xf numFmtId="0" fontId="27" fillId="0" borderId="5" xfId="0" applyFont="1" applyBorder="1" applyAlignment="1">
      <alignment horizontal="left" vertical="center"/>
    </xf>
    <xf numFmtId="0" fontId="27" fillId="0" borderId="44" xfId="0" applyFont="1" applyBorder="1" applyAlignment="1">
      <alignment horizontal="left" vertical="center"/>
    </xf>
    <xf numFmtId="0" fontId="27" fillId="0" borderId="45" xfId="0" applyFont="1" applyBorder="1" applyAlignment="1">
      <alignment horizontal="left" vertical="center"/>
    </xf>
    <xf numFmtId="0" fontId="27" fillId="0" borderId="42" xfId="0" applyFont="1" applyBorder="1" applyAlignment="1">
      <alignment horizontal="center" vertical="center"/>
    </xf>
    <xf numFmtId="0" fontId="0" fillId="0" borderId="6" xfId="0" applyBorder="1" applyAlignment="1">
      <alignment horizontal="center" vertical="center"/>
    </xf>
    <xf numFmtId="1" fontId="27" fillId="0" borderId="36" xfId="0" applyNumberFormat="1" applyFont="1" applyBorder="1" applyAlignment="1">
      <alignment horizontal="left" vertical="center"/>
    </xf>
    <xf numFmtId="1" fontId="27" fillId="0" borderId="37" xfId="0" applyNumberFormat="1" applyFont="1" applyBorder="1" applyAlignment="1">
      <alignment horizontal="left" vertical="center"/>
    </xf>
    <xf numFmtId="1" fontId="27" fillId="0" borderId="38" xfId="0" applyNumberFormat="1" applyFont="1" applyBorder="1" applyAlignment="1">
      <alignment horizontal="left" vertical="center"/>
    </xf>
    <xf numFmtId="1" fontId="27" fillId="0" borderId="31" xfId="0" applyNumberFormat="1" applyFont="1" applyBorder="1" applyAlignment="1">
      <alignment horizontal="left" vertical="center"/>
    </xf>
    <xf numFmtId="1" fontId="27" fillId="0" borderId="32" xfId="0" applyNumberFormat="1" applyFont="1" applyBorder="1" applyAlignment="1">
      <alignment horizontal="left" vertical="center"/>
    </xf>
    <xf numFmtId="1" fontId="27" fillId="0" borderId="33" xfId="0" applyNumberFormat="1" applyFont="1" applyBorder="1" applyAlignment="1">
      <alignment horizontal="left" vertical="center"/>
    </xf>
    <xf numFmtId="0" fontId="27" fillId="0" borderId="36" xfId="0" applyFont="1" applyBorder="1" applyAlignment="1">
      <alignment horizontal="left" vertical="center"/>
    </xf>
    <xf numFmtId="0" fontId="27" fillId="0" borderId="37" xfId="0" applyFont="1" applyBorder="1" applyAlignment="1">
      <alignment horizontal="left" vertical="center"/>
    </xf>
    <xf numFmtId="0" fontId="27" fillId="0" borderId="31" xfId="0" applyFont="1" applyBorder="1" applyAlignment="1">
      <alignment horizontal="left" vertical="center"/>
    </xf>
    <xf numFmtId="0" fontId="27" fillId="0" borderId="32" xfId="0" applyFont="1" applyBorder="1" applyAlignment="1">
      <alignment horizontal="left" vertical="center"/>
    </xf>
    <xf numFmtId="0" fontId="27" fillId="0" borderId="37"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37" xfId="0" applyFont="1" applyBorder="1" applyAlignment="1">
      <alignment horizontal="right" vertical="center"/>
    </xf>
    <xf numFmtId="0" fontId="27" fillId="0" borderId="32" xfId="0" applyFont="1" applyBorder="1" applyAlignment="1">
      <alignment horizontal="right" vertical="center"/>
    </xf>
    <xf numFmtId="0" fontId="27" fillId="0" borderId="38" xfId="0" applyFont="1" applyBorder="1" applyAlignment="1">
      <alignment horizontal="center" vertical="center"/>
    </xf>
    <xf numFmtId="0" fontId="27" fillId="0" borderId="33" xfId="0" applyFont="1" applyBorder="1" applyAlignment="1">
      <alignment horizontal="center" vertical="center"/>
    </xf>
    <xf numFmtId="0" fontId="4" fillId="4" borderId="0" xfId="0" applyFont="1" applyFill="1" applyAlignment="1">
      <alignment horizontal="center" vertical="center"/>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7" fillId="0" borderId="27" xfId="0" applyFont="1" applyBorder="1" applyAlignment="1">
      <alignment horizontal="left" vertical="center"/>
    </xf>
    <xf numFmtId="0" fontId="27" fillId="0" borderId="28" xfId="0" applyFont="1" applyBorder="1" applyAlignment="1">
      <alignment horizontal="left"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33" xfId="0" applyFont="1" applyBorder="1" applyAlignment="1">
      <alignment horizontal="left" vertical="center"/>
    </xf>
    <xf numFmtId="0" fontId="25" fillId="3" borderId="0" xfId="0" applyFont="1" applyFill="1" applyAlignment="1">
      <alignment horizontal="center" vertical="center"/>
    </xf>
    <xf numFmtId="0" fontId="15" fillId="0" borderId="0" xfId="0" applyFont="1" applyBorder="1" applyAlignment="1">
      <alignment horizontal="left" wrapText="1"/>
    </xf>
    <xf numFmtId="0" fontId="3" fillId="0" borderId="0"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15" fillId="0" borderId="0" xfId="0" applyFont="1" applyAlignment="1">
      <alignment horizontal="left" vertical="center" wrapText="1"/>
    </xf>
    <xf numFmtId="0" fontId="15" fillId="0" borderId="0" xfId="0" applyFont="1" applyBorder="1" applyAlignment="1">
      <alignment horizontal="left"/>
    </xf>
    <xf numFmtId="0" fontId="3" fillId="0" borderId="0" xfId="0" applyFont="1" applyBorder="1" applyAlignment="1">
      <alignment horizontal="left"/>
    </xf>
    <xf numFmtId="0" fontId="3" fillId="0" borderId="0" xfId="0" applyFont="1" applyFill="1" applyAlignment="1">
      <alignment horizontal="left" vertical="center" wrapText="1"/>
    </xf>
    <xf numFmtId="0" fontId="3" fillId="0" borderId="46" xfId="0" applyFont="1" applyBorder="1" applyAlignment="1">
      <alignment horizontal="left" vertical="center"/>
    </xf>
    <xf numFmtId="0" fontId="3" fillId="0" borderId="34" xfId="0" applyFont="1" applyBorder="1" applyAlignment="1">
      <alignment horizontal="left"/>
    </xf>
    <xf numFmtId="0" fontId="10" fillId="0" borderId="30" xfId="0" applyFont="1" applyBorder="1" applyAlignment="1">
      <alignment horizontal="left"/>
    </xf>
    <xf numFmtId="0" fontId="10" fillId="0" borderId="46" xfId="0" applyFont="1" applyBorder="1" applyAlignment="1">
      <alignment horizontal="left"/>
    </xf>
    <xf numFmtId="0" fontId="10" fillId="0" borderId="34" xfId="0" applyFont="1" applyBorder="1" applyAlignment="1">
      <alignment horizontal="left"/>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8" xfId="0" applyFont="1" applyBorder="1" applyAlignment="1">
      <alignment horizontal="left" vertical="top" wrapText="1"/>
    </xf>
    <xf numFmtId="0" fontId="3"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10" fillId="0" borderId="14" xfId="0" applyFont="1" applyBorder="1" applyAlignment="1">
      <alignment horizontal="center" vertical="top" wrapText="1"/>
    </xf>
    <xf numFmtId="0" fontId="10" fillId="0" borderId="16" xfId="0" applyFont="1" applyBorder="1" applyAlignment="1">
      <alignment horizontal="center" vertical="top" wrapText="1"/>
    </xf>
    <xf numFmtId="1" fontId="3" fillId="0" borderId="20" xfId="0" applyNumberFormat="1" applyFont="1" applyBorder="1" applyAlignment="1">
      <alignment horizontal="center" vertical="center"/>
    </xf>
    <xf numFmtId="1" fontId="3" fillId="0" borderId="22" xfId="0" applyNumberFormat="1" applyFont="1" applyBorder="1" applyAlignment="1">
      <alignment horizontal="center" vertical="center"/>
    </xf>
    <xf numFmtId="1" fontId="3" fillId="0" borderId="21" xfId="0" applyNumberFormat="1" applyFont="1" applyBorder="1" applyAlignment="1">
      <alignment horizontal="center" vertical="center"/>
    </xf>
    <xf numFmtId="1" fontId="3" fillId="0" borderId="23" xfId="0" applyNumberFormat="1" applyFont="1" applyBorder="1" applyAlignment="1">
      <alignment horizontal="center" vertical="center"/>
    </xf>
    <xf numFmtId="0" fontId="10" fillId="0" borderId="14" xfId="0" applyFont="1" applyFill="1" applyBorder="1" applyAlignment="1">
      <alignment horizontal="center" vertical="center" wrapText="1"/>
    </xf>
    <xf numFmtId="0" fontId="10" fillId="0" borderId="16" xfId="0" applyFont="1" applyFill="1" applyBorder="1" applyAlignment="1">
      <alignment horizontal="center" vertical="center" wrapText="1"/>
    </xf>
    <xf numFmtId="1" fontId="3" fillId="0" borderId="20" xfId="0" applyNumberFormat="1" applyFont="1" applyBorder="1" applyAlignment="1">
      <alignment horizontal="center" vertical="center" wrapText="1"/>
    </xf>
    <xf numFmtId="1" fontId="3" fillId="0" borderId="10" xfId="0" applyNumberFormat="1" applyFont="1" applyBorder="1" applyAlignment="1">
      <alignment horizontal="center" vertical="center"/>
    </xf>
    <xf numFmtId="1" fontId="3" fillId="0" borderId="19" xfId="0" applyNumberFormat="1" applyFont="1" applyBorder="1" applyAlignment="1">
      <alignment horizontal="center" vertical="center"/>
    </xf>
    <xf numFmtId="0" fontId="3" fillId="0" borderId="14" xfId="0" applyFont="1" applyBorder="1" applyAlignment="1">
      <alignment horizontal="center" wrapText="1"/>
    </xf>
    <xf numFmtId="0" fontId="3" fillId="0" borderId="16" xfId="0" applyFont="1" applyBorder="1" applyAlignment="1">
      <alignment horizont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1" fontId="10" fillId="0" borderId="14" xfId="0" applyNumberFormat="1" applyFont="1" applyBorder="1" applyAlignment="1">
      <alignment horizontal="center" wrapText="1"/>
    </xf>
    <xf numFmtId="1" fontId="10" fillId="0" borderId="16" xfId="0" applyNumberFormat="1" applyFont="1" applyBorder="1" applyAlignment="1">
      <alignment horizontal="center" wrapText="1"/>
    </xf>
    <xf numFmtId="1" fontId="3" fillId="0" borderId="14" xfId="0" applyNumberFormat="1" applyFont="1" applyBorder="1" applyAlignment="1">
      <alignment horizontal="center" wrapText="1"/>
    </xf>
    <xf numFmtId="1" fontId="3" fillId="0" borderId="16" xfId="0" applyNumberFormat="1" applyFont="1" applyBorder="1" applyAlignment="1">
      <alignment horizontal="center" wrapText="1"/>
    </xf>
    <xf numFmtId="0" fontId="3" fillId="0" borderId="10" xfId="0" applyFont="1" applyBorder="1" applyAlignment="1">
      <alignment horizontal="center" vertical="center"/>
    </xf>
    <xf numFmtId="0" fontId="3" fillId="0" borderId="19" xfId="0" applyFont="1" applyBorder="1" applyAlignment="1">
      <alignment horizontal="center" vertical="center"/>
    </xf>
    <xf numFmtId="4" fontId="3" fillId="0" borderId="0" xfId="0" applyNumberFormat="1" applyFont="1" applyAlignment="1">
      <alignment horizontal="left" vertical="center" wrapText="1"/>
    </xf>
    <xf numFmtId="4" fontId="3" fillId="0" borderId="0" xfId="0" applyNumberFormat="1" applyFont="1" applyBorder="1" applyAlignment="1">
      <alignment horizontal="left" vertical="center" wrapText="1"/>
    </xf>
    <xf numFmtId="1" fontId="3" fillId="0" borderId="10" xfId="0" applyNumberFormat="1" applyFont="1" applyBorder="1" applyAlignment="1">
      <alignment horizontal="left"/>
    </xf>
    <xf numFmtId="1" fontId="3" fillId="0" borderId="19" xfId="0" applyNumberFormat="1" applyFont="1" applyBorder="1" applyAlignment="1">
      <alignment horizontal="left"/>
    </xf>
    <xf numFmtId="10" fontId="3" fillId="0" borderId="10" xfId="1" applyNumberFormat="1" applyFont="1" applyFill="1" applyBorder="1" applyAlignment="1">
      <alignment horizontal="center"/>
    </xf>
    <xf numFmtId="10" fontId="3" fillId="0" borderId="19" xfId="1" applyNumberFormat="1" applyFont="1" applyFill="1" applyBorder="1" applyAlignment="1">
      <alignment horizontal="center"/>
    </xf>
    <xf numFmtId="1" fontId="3" fillId="0" borderId="10" xfId="0" applyNumberFormat="1" applyFont="1" applyFill="1" applyBorder="1" applyAlignment="1">
      <alignment horizontal="center"/>
    </xf>
    <xf numFmtId="1" fontId="3" fillId="0" borderId="19" xfId="0" applyNumberFormat="1" applyFont="1" applyFill="1" applyBorder="1" applyAlignment="1">
      <alignment horizontal="center"/>
    </xf>
    <xf numFmtId="172" fontId="3" fillId="0" borderId="10" xfId="0" applyNumberFormat="1" applyFont="1" applyFill="1" applyBorder="1" applyAlignment="1">
      <alignment horizontal="center"/>
    </xf>
    <xf numFmtId="172" fontId="3" fillId="0" borderId="19" xfId="0" applyNumberFormat="1" applyFont="1" applyFill="1" applyBorder="1" applyAlignment="1">
      <alignment horizontal="center"/>
    </xf>
    <xf numFmtId="2" fontId="3" fillId="0" borderId="10" xfId="0" applyNumberFormat="1" applyFont="1" applyFill="1" applyBorder="1" applyAlignment="1">
      <alignment horizontal="center"/>
    </xf>
    <xf numFmtId="2" fontId="3" fillId="0" borderId="19" xfId="0" applyNumberFormat="1" applyFont="1" applyFill="1" applyBorder="1" applyAlignment="1">
      <alignment horizontal="center"/>
    </xf>
    <xf numFmtId="0" fontId="3" fillId="0" borderId="0" xfId="0" applyFont="1" applyAlignment="1">
      <alignment horizontal="right" vertical="center"/>
    </xf>
    <xf numFmtId="0" fontId="3" fillId="0" borderId="0" xfId="0" applyFont="1" applyAlignment="1">
      <alignment horizontal="right" vertical="center" wrapText="1"/>
    </xf>
    <xf numFmtId="0" fontId="3" fillId="0" borderId="0" xfId="0" applyFont="1" applyAlignment="1">
      <alignment horizontal="justify" vertic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1" fontId="3" fillId="0" borderId="17" xfId="0" applyNumberFormat="1" applyFont="1" applyBorder="1" applyAlignment="1">
      <alignment horizontal="center" vertical="center" wrapText="1"/>
    </xf>
    <xf numFmtId="1" fontId="3" fillId="0" borderId="22" xfId="0" applyNumberFormat="1" applyFont="1" applyBorder="1" applyAlignment="1">
      <alignment horizontal="center" vertical="center" wrapText="1"/>
    </xf>
    <xf numFmtId="1" fontId="3" fillId="0" borderId="21" xfId="0" applyNumberFormat="1" applyFont="1" applyBorder="1" applyAlignment="1">
      <alignment horizontal="center" vertical="center" wrapText="1"/>
    </xf>
    <xf numFmtId="1" fontId="3" fillId="0" borderId="18" xfId="0" applyNumberFormat="1" applyFont="1" applyBorder="1" applyAlignment="1">
      <alignment horizontal="center" vertical="center" wrapText="1"/>
    </xf>
    <xf numFmtId="1" fontId="3" fillId="0" borderId="23"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18" xfId="0" applyFont="1" applyBorder="1" applyAlignment="1">
      <alignment horizontal="center" vertical="center" wrapText="1"/>
    </xf>
    <xf numFmtId="1" fontId="0" fillId="0" borderId="20" xfId="0" applyNumberFormat="1" applyBorder="1" applyAlignment="1">
      <alignment horizontal="center" vertical="center"/>
    </xf>
    <xf numFmtId="0" fontId="0" fillId="0" borderId="21" xfId="0" applyBorder="1" applyAlignment="1">
      <alignment horizontal="center" vertical="center"/>
    </xf>
    <xf numFmtId="2" fontId="3" fillId="0" borderId="20" xfId="0" applyNumberFormat="1" applyFont="1" applyBorder="1" applyAlignment="1">
      <alignment horizontal="center" vertical="center" wrapText="1"/>
    </xf>
    <xf numFmtId="2" fontId="3" fillId="0" borderId="21" xfId="0" applyNumberFormat="1" applyFont="1" applyBorder="1" applyAlignment="1">
      <alignment horizontal="center" vertical="center" wrapText="1"/>
    </xf>
    <xf numFmtId="2" fontId="3" fillId="0" borderId="17" xfId="0" applyNumberFormat="1" applyFont="1" applyBorder="1" applyAlignment="1">
      <alignment horizontal="center" vertical="center" wrapText="1"/>
    </xf>
    <xf numFmtId="2" fontId="3" fillId="0" borderId="22" xfId="0" applyNumberFormat="1" applyFont="1" applyBorder="1" applyAlignment="1">
      <alignment horizontal="center" vertical="center" wrapText="1"/>
    </xf>
    <xf numFmtId="2" fontId="3" fillId="0" borderId="18" xfId="0" applyNumberFormat="1" applyFont="1" applyBorder="1" applyAlignment="1">
      <alignment horizontal="center" vertical="center" wrapText="1"/>
    </xf>
    <xf numFmtId="2" fontId="3" fillId="0" borderId="23" xfId="0" applyNumberFormat="1" applyFont="1" applyBorder="1" applyAlignment="1">
      <alignment horizontal="center" vertical="center" wrapText="1"/>
    </xf>
    <xf numFmtId="1" fontId="3" fillId="0" borderId="11" xfId="0" applyNumberFormat="1" applyFont="1" applyBorder="1" applyAlignment="1">
      <alignment horizontal="center" vertical="center" wrapText="1"/>
    </xf>
    <xf numFmtId="0" fontId="3" fillId="0" borderId="11" xfId="0" applyFont="1" applyBorder="1" applyAlignment="1">
      <alignment horizontal="center" vertical="center" wrapText="1"/>
    </xf>
    <xf numFmtId="1" fontId="3" fillId="0" borderId="0"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2" fontId="3" fillId="0" borderId="11"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0" fontId="3" fillId="0" borderId="0" xfId="0" applyFont="1" applyAlignment="1">
      <alignment horizontal="justify" wrapText="1"/>
    </xf>
    <xf numFmtId="10" fontId="3" fillId="0" borderId="11" xfId="0" applyNumberFormat="1" applyFont="1" applyBorder="1" applyAlignment="1">
      <alignment horizontal="center" vertical="center" wrapText="1"/>
    </xf>
    <xf numFmtId="10" fontId="3" fillId="0" borderId="0" xfId="0" applyNumberFormat="1" applyFont="1" applyBorder="1" applyAlignment="1">
      <alignment horizontal="center" vertical="center" wrapText="1"/>
    </xf>
    <xf numFmtId="173" fontId="3" fillId="0" borderId="17" xfId="0" applyNumberFormat="1" applyFont="1" applyBorder="1" applyAlignment="1">
      <alignment horizontal="center" vertical="center" wrapText="1"/>
    </xf>
    <xf numFmtId="173" fontId="3" fillId="0" borderId="22" xfId="0" applyNumberFormat="1" applyFont="1" applyBorder="1" applyAlignment="1">
      <alignment horizontal="center" vertical="center" wrapText="1"/>
    </xf>
    <xf numFmtId="173" fontId="3" fillId="0" borderId="18" xfId="0" applyNumberFormat="1" applyFont="1" applyBorder="1" applyAlignment="1">
      <alignment horizontal="center" vertical="center" wrapText="1"/>
    </xf>
    <xf numFmtId="173" fontId="3" fillId="0" borderId="23" xfId="0" applyNumberFormat="1" applyFont="1" applyBorder="1" applyAlignment="1">
      <alignment horizontal="center" vertical="center" wrapText="1"/>
    </xf>
    <xf numFmtId="0" fontId="5" fillId="4" borderId="0" xfId="0" applyFont="1" applyFill="1" applyAlignment="1">
      <alignment horizontal="left" vertical="center"/>
    </xf>
    <xf numFmtId="0" fontId="7" fillId="0" borderId="0" xfId="3" applyAlignment="1">
      <alignment horizontal="center"/>
    </xf>
    <xf numFmtId="0" fontId="7" fillId="0" borderId="0" xfId="3" applyAlignment="1">
      <alignment horizontal="right"/>
    </xf>
    <xf numFmtId="1" fontId="53" fillId="0" borderId="14" xfId="3" applyNumberFormat="1" applyFont="1" applyFill="1" applyBorder="1" applyAlignment="1">
      <alignment horizontal="center" vertical="center"/>
    </xf>
    <xf numFmtId="1" fontId="53" fillId="0" borderId="16" xfId="3" applyNumberFormat="1" applyFont="1" applyFill="1" applyBorder="1" applyAlignment="1">
      <alignment horizontal="center" vertical="center"/>
    </xf>
    <xf numFmtId="0" fontId="53" fillId="0" borderId="14" xfId="3" applyFont="1" applyFill="1" applyBorder="1" applyAlignment="1">
      <alignment horizontal="center" vertical="center"/>
    </xf>
    <xf numFmtId="0" fontId="53" fillId="0" borderId="16" xfId="3" applyFont="1" applyFill="1" applyBorder="1" applyAlignment="1">
      <alignment horizontal="center" vertical="center"/>
    </xf>
    <xf numFmtId="169" fontId="3" fillId="0" borderId="16" xfId="0" applyNumberFormat="1" applyFont="1" applyBorder="1" applyAlignment="1">
      <alignment horizontal="left" vertical="center" wrapText="1"/>
    </xf>
    <xf numFmtId="169" fontId="3" fillId="0" borderId="9" xfId="0" applyNumberFormat="1" applyFont="1" applyBorder="1" applyAlignment="1">
      <alignment horizontal="left" vertical="center" wrapText="1"/>
    </xf>
    <xf numFmtId="0" fontId="3" fillId="5"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0" borderId="9" xfId="0" applyFont="1" applyBorder="1" applyAlignment="1">
      <alignment horizontal="left" vertical="center" wrapText="1"/>
    </xf>
    <xf numFmtId="0" fontId="3" fillId="5" borderId="9" xfId="0" applyFont="1" applyFill="1" applyBorder="1" applyAlignment="1">
      <alignment horizontal="left" wrapText="1"/>
    </xf>
    <xf numFmtId="0" fontId="3" fillId="0" borderId="9"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Fill="1" applyBorder="1" applyAlignment="1">
      <alignment horizontal="left" vertical="center" wrapText="1"/>
    </xf>
    <xf numFmtId="0" fontId="3" fillId="5" borderId="9" xfId="0" applyFont="1" applyFill="1" applyBorder="1" applyAlignment="1">
      <alignment horizontal="left" vertical="top" wrapText="1"/>
    </xf>
    <xf numFmtId="0" fontId="3" fillId="5" borderId="10" xfId="0" applyFont="1" applyFill="1" applyBorder="1" applyAlignment="1">
      <alignment horizontal="left" wrapText="1"/>
    </xf>
    <xf numFmtId="0" fontId="3" fillId="5" borderId="13" xfId="0" applyFont="1" applyFill="1" applyBorder="1" applyAlignment="1">
      <alignment horizontal="left" wrapText="1"/>
    </xf>
    <xf numFmtId="0" fontId="3" fillId="5" borderId="19" xfId="0" applyFont="1" applyFill="1" applyBorder="1" applyAlignment="1">
      <alignment horizontal="left" wrapText="1"/>
    </xf>
    <xf numFmtId="0" fontId="3" fillId="0" borderId="9" xfId="0" applyFont="1" applyBorder="1" applyAlignment="1">
      <alignment horizontal="left" vertical="top" wrapText="1"/>
    </xf>
    <xf numFmtId="0" fontId="3" fillId="0" borderId="20"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1"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0" borderId="9" xfId="0" applyFont="1" applyBorder="1" applyAlignment="1">
      <alignment horizontal="left" wrapText="1"/>
    </xf>
    <xf numFmtId="0" fontId="3" fillId="5" borderId="11" xfId="0" applyFont="1" applyFill="1" applyBorder="1" applyAlignment="1">
      <alignment horizontal="center" vertical="top" wrapText="1"/>
    </xf>
    <xf numFmtId="0" fontId="3" fillId="5" borderId="0" xfId="0" applyFont="1" applyFill="1" applyBorder="1" applyAlignment="1">
      <alignment horizontal="center" vertical="top" wrapText="1"/>
    </xf>
    <xf numFmtId="0" fontId="3" fillId="5" borderId="11" xfId="0" applyFont="1" applyFill="1" applyBorder="1" applyAlignment="1">
      <alignment horizontal="left"/>
    </xf>
    <xf numFmtId="0" fontId="3" fillId="5" borderId="0" xfId="0" applyFont="1" applyFill="1" applyBorder="1" applyAlignment="1">
      <alignment horizontal="left"/>
    </xf>
    <xf numFmtId="0" fontId="3" fillId="0" borderId="10" xfId="0" applyFont="1" applyBorder="1" applyAlignment="1">
      <alignment horizontal="left" vertical="top" wrapText="1"/>
    </xf>
    <xf numFmtId="0" fontId="3" fillId="0" borderId="13" xfId="0" applyFont="1" applyBorder="1" applyAlignment="1">
      <alignment horizontal="left" vertical="top" wrapText="1"/>
    </xf>
    <xf numFmtId="0" fontId="3" fillId="0" borderId="19" xfId="0" applyFont="1" applyBorder="1" applyAlignment="1">
      <alignment horizontal="left" vertical="top"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 fillId="5" borderId="10" xfId="0" applyFont="1" applyFill="1" applyBorder="1" applyAlignment="1">
      <alignment horizontal="left" vertical="top" wrapText="1"/>
    </xf>
    <xf numFmtId="0" fontId="3" fillId="5" borderId="13" xfId="0" applyFont="1" applyFill="1" applyBorder="1" applyAlignment="1">
      <alignment horizontal="left" vertical="top" wrapText="1"/>
    </xf>
    <xf numFmtId="0" fontId="3" fillId="5" borderId="19" xfId="0" applyFont="1" applyFill="1" applyBorder="1" applyAlignment="1">
      <alignment horizontal="left" vertical="top" wrapText="1"/>
    </xf>
    <xf numFmtId="0" fontId="3" fillId="0" borderId="20" xfId="0" applyFont="1" applyBorder="1" applyAlignment="1">
      <alignment horizontal="left" vertical="top" wrapText="1"/>
    </xf>
    <xf numFmtId="0" fontId="3" fillId="0" borderId="17" xfId="0" applyFont="1" applyBorder="1" applyAlignment="1">
      <alignment horizontal="left" vertical="top" wrapText="1"/>
    </xf>
    <xf numFmtId="0" fontId="3" fillId="0" borderId="22"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21" xfId="0" applyFont="1" applyBorder="1" applyAlignment="1">
      <alignment horizontal="left" vertical="top" wrapText="1"/>
    </xf>
    <xf numFmtId="0" fontId="3" fillId="0" borderId="23" xfId="0" applyFont="1" applyBorder="1" applyAlignment="1">
      <alignment horizontal="left" vertical="top" wrapText="1"/>
    </xf>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left" vertical="center" wrapText="1"/>
    </xf>
    <xf numFmtId="0" fontId="3" fillId="5" borderId="0"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7" xfId="0" applyFont="1" applyBorder="1" applyAlignment="1">
      <alignment horizontal="left" wrapText="1"/>
    </xf>
    <xf numFmtId="0" fontId="3" fillId="0" borderId="22" xfId="0" applyFont="1" applyBorder="1" applyAlignment="1">
      <alignment horizontal="left" wrapText="1"/>
    </xf>
    <xf numFmtId="0" fontId="3" fillId="0" borderId="18" xfId="0" applyFont="1" applyBorder="1" applyAlignment="1">
      <alignment horizontal="left" wrapText="1"/>
    </xf>
    <xf numFmtId="0" fontId="3" fillId="0" borderId="23" xfId="0" applyFont="1" applyBorder="1" applyAlignment="1">
      <alignment horizontal="left" wrapText="1"/>
    </xf>
    <xf numFmtId="0" fontId="3" fillId="0" borderId="20" xfId="0" applyFont="1" applyBorder="1" applyAlignment="1">
      <alignment horizontal="left" wrapText="1"/>
    </xf>
    <xf numFmtId="0" fontId="3" fillId="0" borderId="21" xfId="0" applyFont="1" applyBorder="1" applyAlignment="1">
      <alignment horizontal="left" wrapText="1"/>
    </xf>
    <xf numFmtId="0" fontId="3" fillId="5" borderId="9" xfId="0" applyFont="1" applyFill="1" applyBorder="1" applyAlignment="1">
      <alignment horizontal="left"/>
    </xf>
    <xf numFmtId="0" fontId="3" fillId="5" borderId="11" xfId="0" applyFont="1" applyFill="1" applyBorder="1" applyAlignment="1">
      <alignment horizontal="left" vertical="center" wrapText="1"/>
    </xf>
    <xf numFmtId="0" fontId="3" fillId="0" borderId="21" xfId="0" applyFont="1" applyBorder="1" applyAlignment="1">
      <alignment horizontal="left" vertical="center" wrapText="1"/>
    </xf>
    <xf numFmtId="0" fontId="3" fillId="0" borderId="18" xfId="0" applyFont="1" applyBorder="1" applyAlignment="1">
      <alignment horizontal="left" vertical="center" wrapText="1"/>
    </xf>
    <xf numFmtId="0" fontId="3" fillId="0" borderId="23" xfId="0" applyFont="1" applyBorder="1" applyAlignment="1">
      <alignment horizontal="left" vertical="center" wrapText="1"/>
    </xf>
    <xf numFmtId="0" fontId="3" fillId="0" borderId="10" xfId="0" applyFont="1" applyBorder="1" applyAlignment="1">
      <alignment horizontal="left" wrapText="1"/>
    </xf>
    <xf numFmtId="0" fontId="3" fillId="0" borderId="13" xfId="0" applyFont="1" applyBorder="1" applyAlignment="1">
      <alignment horizontal="left" wrapText="1"/>
    </xf>
    <xf numFmtId="0" fontId="3" fillId="0" borderId="19" xfId="0" applyFont="1" applyBorder="1" applyAlignment="1">
      <alignment horizontal="left" wrapText="1"/>
    </xf>
    <xf numFmtId="0" fontId="3" fillId="5" borderId="20" xfId="0" applyFont="1" applyFill="1" applyBorder="1" applyAlignment="1">
      <alignment horizontal="left" vertical="top" wrapText="1"/>
    </xf>
    <xf numFmtId="0" fontId="3" fillId="5" borderId="17" xfId="0" applyFont="1" applyFill="1" applyBorder="1" applyAlignment="1">
      <alignment horizontal="left" vertical="top" wrapText="1"/>
    </xf>
    <xf numFmtId="0" fontId="3" fillId="5" borderId="22" xfId="0" applyFont="1" applyFill="1" applyBorder="1" applyAlignment="1">
      <alignment horizontal="left" vertical="top" wrapText="1"/>
    </xf>
    <xf numFmtId="0" fontId="3" fillId="5" borderId="21" xfId="0" applyFont="1" applyFill="1" applyBorder="1" applyAlignment="1">
      <alignment horizontal="left" vertical="top" wrapText="1"/>
    </xf>
    <xf numFmtId="0" fontId="3" fillId="5" borderId="18" xfId="0" applyFont="1" applyFill="1" applyBorder="1" applyAlignment="1">
      <alignment horizontal="left" vertical="top" wrapText="1"/>
    </xf>
    <xf numFmtId="0" fontId="3" fillId="5" borderId="23" xfId="0" applyFont="1" applyFill="1" applyBorder="1" applyAlignment="1">
      <alignment horizontal="left" vertical="top" wrapText="1"/>
    </xf>
    <xf numFmtId="0" fontId="3" fillId="0" borderId="16" xfId="0" applyFont="1" applyBorder="1" applyAlignment="1">
      <alignment horizontal="left" vertical="top" wrapText="1"/>
    </xf>
    <xf numFmtId="0" fontId="59" fillId="0" borderId="9" xfId="0" applyFont="1" applyFill="1" applyBorder="1" applyAlignment="1">
      <alignment horizontal="center" vertical="center" wrapText="1"/>
    </xf>
    <xf numFmtId="0" fontId="0" fillId="0" borderId="9" xfId="0" applyBorder="1" applyAlignment="1">
      <alignment horizontal="center"/>
    </xf>
    <xf numFmtId="2"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cellXfs>
  <cellStyles count="8">
    <cellStyle name="Lien hypertexte" xfId="5" builtinId="8"/>
    <cellStyle name="Milliers" xfId="2" builtinId="3"/>
    <cellStyle name="Monétaire_Calcul de prêt" xfId="4"/>
    <cellStyle name="Normal" xfId="0" builtinId="0"/>
    <cellStyle name="Normal_Amortissements" xfId="6"/>
    <cellStyle name="Normal_Besoins (2)" xfId="7"/>
    <cellStyle name="Normal_Calcul de prêt" xfId="3"/>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'BO AF'!$B$3:$C$3</c:f>
              <c:strCache>
                <c:ptCount val="1"/>
                <c:pt idx="0">
                  <c:v>Chiffre d'affaires HT</c:v>
                </c:pt>
              </c:strCache>
            </c:strRef>
          </c:tx>
          <c:marker>
            <c:symbol val="none"/>
          </c:marker>
          <c:cat>
            <c:numRef>
              <c:f>'BO AF'!$A$4:$A$6</c:f>
              <c:numCache>
                <c:formatCode>General</c:formatCode>
                <c:ptCount val="3"/>
                <c:pt idx="0">
                  <c:v>0</c:v>
                </c:pt>
                <c:pt idx="1">
                  <c:v>0</c:v>
                </c:pt>
                <c:pt idx="2">
                  <c:v>0</c:v>
                </c:pt>
              </c:numCache>
            </c:numRef>
          </c:cat>
          <c:val>
            <c:numRef>
              <c:f>'BO AF'!$B$4:$B$6</c:f>
              <c:numCache>
                <c:formatCode>General</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2AEC-43F6-B452-DAE4ABAED55D}"/>
            </c:ext>
          </c:extLst>
        </c:ser>
        <c:dLbls>
          <c:showLegendKey val="0"/>
          <c:showVal val="0"/>
          <c:showCatName val="0"/>
          <c:showSerName val="0"/>
          <c:showPercent val="0"/>
          <c:showBubbleSize val="0"/>
        </c:dLbls>
        <c:smooth val="0"/>
        <c:axId val="698841816"/>
        <c:axId val="698839464"/>
      </c:lineChart>
      <c:catAx>
        <c:axId val="698841816"/>
        <c:scaling>
          <c:orientation val="minMax"/>
        </c:scaling>
        <c:delete val="0"/>
        <c:axPos val="b"/>
        <c:numFmt formatCode="General" sourceLinked="1"/>
        <c:majorTickMark val="none"/>
        <c:minorTickMark val="none"/>
        <c:tickLblPos val="nextTo"/>
        <c:crossAx val="698839464"/>
        <c:crosses val="autoZero"/>
        <c:auto val="1"/>
        <c:lblAlgn val="ctr"/>
        <c:lblOffset val="100"/>
        <c:noMultiLvlLbl val="0"/>
      </c:catAx>
      <c:valAx>
        <c:axId val="698839464"/>
        <c:scaling>
          <c:orientation val="minMax"/>
        </c:scaling>
        <c:delete val="0"/>
        <c:axPos val="l"/>
        <c:majorGridlines/>
        <c:numFmt formatCode="General" sourceLinked="1"/>
        <c:majorTickMark val="none"/>
        <c:minorTickMark val="none"/>
        <c:tickLblPos val="nextTo"/>
        <c:crossAx val="698841816"/>
        <c:crosses val="autoZero"/>
        <c:crossBetween val="between"/>
      </c:valAx>
    </c:plotArea>
    <c:plotVisOnly val="1"/>
    <c:dispBlanksAs val="gap"/>
    <c:showDLblsOverMax val="0"/>
  </c:chart>
  <c:spPr>
    <a:ln>
      <a:noFill/>
    </a:ln>
  </c:spPr>
  <c:txPr>
    <a:bodyPr/>
    <a:lstStyle/>
    <a:p>
      <a:pPr>
        <a:defRPr sz="80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09345217319412"/>
          <c:y val="7.17036836291816E-2"/>
          <c:w val="0.81490654782680583"/>
          <c:h val="0.55854551875074421"/>
        </c:manualLayout>
      </c:layout>
      <c:barChart>
        <c:barDir val="col"/>
        <c:grouping val="clustered"/>
        <c:varyColors val="0"/>
        <c:ser>
          <c:idx val="0"/>
          <c:order val="0"/>
          <c:tx>
            <c:strRef>
              <c:f>'BO Fin'!$C$39</c:f>
              <c:strCache>
                <c:ptCount val="1"/>
                <c:pt idx="0">
                  <c:v>CAHT annuel</c:v>
                </c:pt>
              </c:strCache>
            </c:strRef>
          </c:tx>
          <c:spPr>
            <a:solidFill>
              <a:schemeClr val="accent1"/>
            </a:solidFill>
            <a:ln>
              <a:noFill/>
            </a:ln>
            <a:effectLst/>
          </c:spPr>
          <c:invertIfNegative val="0"/>
          <c:cat>
            <c:strRef>
              <c:f>'BO Fin'!$B$10:$H$10</c:f>
              <c:strCache>
                <c:ptCount val="1"/>
                <c:pt idx="0">
                  <c:v>Année 1</c:v>
                </c:pt>
              </c:strCache>
            </c:strRef>
          </c:cat>
          <c:val>
            <c:numRef>
              <c:f>'BO Fin'!$C$41:$C$47</c:f>
              <c:numCache>
                <c:formatCode>0</c:formatCode>
                <c:ptCount val="7"/>
                <c:pt idx="0">
                  <c:v>0</c:v>
                </c:pt>
                <c:pt idx="1">
                  <c:v>0</c:v>
                </c:pt>
                <c:pt idx="2" formatCode="General">
                  <c:v>0</c:v>
                </c:pt>
                <c:pt idx="3" formatCode="General">
                  <c:v>0</c:v>
                </c:pt>
                <c:pt idx="4" formatCode="General">
                  <c:v>0</c:v>
                </c:pt>
                <c:pt idx="5" formatCode="General">
                  <c:v>0</c:v>
                </c:pt>
                <c:pt idx="6" formatCode="General">
                  <c:v>0</c:v>
                </c:pt>
              </c:numCache>
            </c:numRef>
          </c:val>
          <c:extLst xmlns:c16r2="http://schemas.microsoft.com/office/drawing/2015/06/chart">
            <c:ext xmlns:c16="http://schemas.microsoft.com/office/drawing/2014/chart" uri="{C3380CC4-5D6E-409C-BE32-E72D297353CC}">
              <c16:uniqueId val="{00000000-01C2-44D7-AA70-1D334AB0C746}"/>
            </c:ext>
          </c:extLst>
        </c:ser>
        <c:ser>
          <c:idx val="1"/>
          <c:order val="1"/>
          <c:tx>
            <c:strRef>
              <c:f>'BO Fin'!$G$39</c:f>
              <c:strCache>
                <c:ptCount val="1"/>
                <c:pt idx="0">
                  <c:v>ETE en euros</c:v>
                </c:pt>
              </c:strCache>
            </c:strRef>
          </c:tx>
          <c:invertIfNegative val="0"/>
          <c:cat>
            <c:strRef>
              <c:f>'BO Fin'!$B$10:$H$10</c:f>
              <c:strCache>
                <c:ptCount val="1"/>
                <c:pt idx="0">
                  <c:v>Année 1</c:v>
                </c:pt>
              </c:strCache>
            </c:strRef>
          </c:cat>
          <c:val>
            <c:numRef>
              <c:f>'BO Fin'!$G$41:$G$47</c:f>
              <c:numCache>
                <c:formatCode>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B2F6-41CB-83F3-ED294DBF5D2B}"/>
            </c:ext>
          </c:extLst>
        </c:ser>
        <c:ser>
          <c:idx val="2"/>
          <c:order val="2"/>
          <c:tx>
            <c:strRef>
              <c:f>'BO Fin'!$H$39</c:f>
              <c:strCache>
                <c:ptCount val="1"/>
                <c:pt idx="0">
                  <c:v>ETE en jours de CA</c:v>
                </c:pt>
              </c:strCache>
            </c:strRef>
          </c:tx>
          <c:invertIfNegative val="0"/>
          <c:cat>
            <c:strRef>
              <c:f>'BO Fin'!$B$10:$H$10</c:f>
              <c:strCache>
                <c:ptCount val="1"/>
                <c:pt idx="0">
                  <c:v>Année 1</c:v>
                </c:pt>
              </c:strCache>
            </c:strRef>
          </c:cat>
          <c:val>
            <c:numRef>
              <c:f>'BO Fin'!$H$41:$H$47</c:f>
              <c:numCache>
                <c:formatCode>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1-B2F6-41CB-83F3-ED294DBF5D2B}"/>
            </c:ext>
          </c:extLst>
        </c:ser>
        <c:dLbls>
          <c:showLegendKey val="0"/>
          <c:showVal val="0"/>
          <c:showCatName val="0"/>
          <c:showSerName val="0"/>
          <c:showPercent val="0"/>
          <c:showBubbleSize val="0"/>
        </c:dLbls>
        <c:gapWidth val="219"/>
        <c:axId val="702606776"/>
        <c:axId val="702600504"/>
      </c:barChart>
      <c:catAx>
        <c:axId val="702606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702600504"/>
        <c:crosses val="autoZero"/>
        <c:auto val="1"/>
        <c:lblAlgn val="ctr"/>
        <c:lblOffset val="100"/>
        <c:noMultiLvlLbl val="0"/>
      </c:catAx>
      <c:valAx>
        <c:axId val="702600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7026067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n-lt"/>
                <a:ea typeface="+mn-ea"/>
                <a:cs typeface="+mn-cs"/>
              </a:defRPr>
            </a:pPr>
            <a:endParaRPr lang="fr-FR"/>
          </a:p>
        </c:txPr>
      </c:dTable>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percentStacked"/>
        <c:varyColors val="0"/>
        <c:ser>
          <c:idx val="0"/>
          <c:order val="0"/>
          <c:tx>
            <c:strRef>
              <c:f>'BO AF'!$E$32</c:f>
              <c:strCache>
                <c:ptCount val="1"/>
                <c:pt idx="0">
                  <c:v>Prix de vente</c:v>
                </c:pt>
              </c:strCache>
            </c:strRef>
          </c:tx>
          <c:invertIfNegative val="0"/>
          <c:dLbls>
            <c:dLbl>
              <c:idx val="0"/>
              <c:numFmt formatCode="###0;\(###0\);" sourceLinked="0"/>
              <c:spPr>
                <a:noFill/>
                <a:ln>
                  <a:noFill/>
                </a:ln>
                <a:effectLst/>
              </c:spPr>
              <c:txPr>
                <a:bodyPr/>
                <a:lstStyle/>
                <a:p>
                  <a:pPr>
                    <a:defRPr/>
                  </a:pPr>
                  <a:endParaRPr lang="fr-FR"/>
                </a:p>
              </c:txPr>
              <c:showLegendKey val="0"/>
              <c:showVal val="1"/>
              <c:showCatName val="0"/>
              <c:showSerName val="0"/>
              <c:showPercent val="0"/>
              <c:showBubbleSize val="0"/>
            </c:dLbl>
            <c:dLbl>
              <c:idx val="1"/>
              <c:delete val="1"/>
              <c:extLst xmlns:c16r2="http://schemas.microsoft.com/office/drawing/2015/06/chart">
                <c:ext xmlns:c16="http://schemas.microsoft.com/office/drawing/2014/chart" uri="{C3380CC4-5D6E-409C-BE32-E72D297353CC}">
                  <c16:uniqueId val="{00000000-1B9F-4C02-AB3B-077336683EE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AF'!$G$32:$H$32</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1-1B9F-4C02-AB3B-077336683EE4}"/>
            </c:ext>
          </c:extLst>
        </c:ser>
        <c:ser>
          <c:idx val="1"/>
          <c:order val="1"/>
          <c:tx>
            <c:strRef>
              <c:f>'BO AF'!$E$33</c:f>
              <c:strCache>
                <c:ptCount val="1"/>
                <c:pt idx="0">
                  <c:v>Marge brute</c:v>
                </c:pt>
              </c:strCache>
            </c:strRef>
          </c:tx>
          <c:invertIfNegative val="0"/>
          <c:dLbls>
            <c:dLbl>
              <c:idx val="0"/>
              <c:delete val="1"/>
              <c:extLst xmlns:c16r2="http://schemas.microsoft.com/office/drawing/2015/06/chart">
                <c:ext xmlns:c16="http://schemas.microsoft.com/office/drawing/2014/chart" uri="{C3380CC4-5D6E-409C-BE32-E72D297353CC}">
                  <c16:uniqueId val="{00000002-1B9F-4C02-AB3B-077336683EE4}"/>
                </c:ext>
                <c:ext xmlns:c15="http://schemas.microsoft.com/office/drawing/2012/chart" uri="{CE6537A1-D6FC-4f65-9D91-7224C49458BB}"/>
              </c:extLst>
            </c:dLbl>
            <c:dLbl>
              <c:idx val="1"/>
              <c:numFmt formatCode="###0;\(###0\);" sourceLinked="0"/>
              <c:spPr>
                <a:noFill/>
                <a:ln>
                  <a:noFill/>
                </a:ln>
                <a:effectLst/>
              </c:spPr>
              <c:txPr>
                <a:bodyPr/>
                <a:lstStyle/>
                <a:p>
                  <a:pPr>
                    <a:defRPr/>
                  </a:pPr>
                  <a:endParaRPr lang="fr-FR"/>
                </a:p>
              </c:txPr>
              <c:showLegendKey val="0"/>
              <c:showVal val="1"/>
              <c:showCatName val="0"/>
              <c:showSerName val="0"/>
              <c:showPercent val="0"/>
              <c:showBubbleSize val="0"/>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AF'!$G$33:$H$33</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3-1B9F-4C02-AB3B-077336683EE4}"/>
            </c:ext>
          </c:extLst>
        </c:ser>
        <c:ser>
          <c:idx val="2"/>
          <c:order val="2"/>
          <c:tx>
            <c:strRef>
              <c:f>'BO AF'!$E$34</c:f>
              <c:strCache>
                <c:ptCount val="1"/>
                <c:pt idx="0">
                  <c:v>Coût de revient</c:v>
                </c:pt>
              </c:strCache>
            </c:strRef>
          </c:tx>
          <c:invertIfNegative val="0"/>
          <c:dLbls>
            <c:dLbl>
              <c:idx val="0"/>
              <c:delete val="1"/>
              <c:extLst xmlns:c16r2="http://schemas.microsoft.com/office/drawing/2015/06/chart">
                <c:ext xmlns:c16="http://schemas.microsoft.com/office/drawing/2014/chart" uri="{C3380CC4-5D6E-409C-BE32-E72D297353CC}">
                  <c16:uniqueId val="{00000004-1B9F-4C02-AB3B-077336683EE4}"/>
                </c:ext>
                <c:ext xmlns:c15="http://schemas.microsoft.com/office/drawing/2012/chart" uri="{CE6537A1-D6FC-4f65-9D91-7224C49458BB}"/>
              </c:extLst>
            </c:dLbl>
            <c:dLbl>
              <c:idx val="1"/>
              <c:numFmt formatCode="###0;\(###0\);" sourceLinked="0"/>
              <c:spPr>
                <a:noFill/>
                <a:ln>
                  <a:noFill/>
                </a:ln>
                <a:effectLst/>
              </c:spPr>
              <c:txPr>
                <a:bodyPr/>
                <a:lstStyle/>
                <a:p>
                  <a:pPr>
                    <a:defRPr/>
                  </a:pPr>
                  <a:endParaRPr lang="fr-FR"/>
                </a:p>
              </c:txPr>
              <c:showLegendKey val="0"/>
              <c:showVal val="1"/>
              <c:showCatName val="0"/>
              <c:showSerName val="0"/>
              <c:showPercent val="0"/>
              <c:showBubbleSize val="0"/>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AF'!$G$34:$H$34</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5-1B9F-4C02-AB3B-077336683EE4}"/>
            </c:ext>
          </c:extLst>
        </c:ser>
        <c:dLbls>
          <c:showLegendKey val="0"/>
          <c:showVal val="0"/>
          <c:showCatName val="0"/>
          <c:showSerName val="0"/>
          <c:showPercent val="0"/>
          <c:showBubbleSize val="0"/>
        </c:dLbls>
        <c:gapWidth val="75"/>
        <c:overlap val="100"/>
        <c:axId val="698841032"/>
        <c:axId val="698841424"/>
      </c:barChart>
      <c:catAx>
        <c:axId val="698841032"/>
        <c:scaling>
          <c:orientation val="minMax"/>
        </c:scaling>
        <c:delete val="1"/>
        <c:axPos val="b"/>
        <c:majorTickMark val="none"/>
        <c:minorTickMark val="none"/>
        <c:tickLblPos val="nextTo"/>
        <c:crossAx val="698841424"/>
        <c:crosses val="autoZero"/>
        <c:auto val="1"/>
        <c:lblAlgn val="ctr"/>
        <c:lblOffset val="100"/>
        <c:noMultiLvlLbl val="0"/>
      </c:catAx>
      <c:valAx>
        <c:axId val="698841424"/>
        <c:scaling>
          <c:orientation val="minMax"/>
        </c:scaling>
        <c:delete val="0"/>
        <c:axPos val="l"/>
        <c:majorGridlines/>
        <c:numFmt formatCode="0%" sourceLinked="1"/>
        <c:majorTickMark val="none"/>
        <c:minorTickMark val="none"/>
        <c:tickLblPos val="nextTo"/>
        <c:crossAx val="698841032"/>
        <c:crosses val="autoZero"/>
        <c:crossBetween val="between"/>
      </c:valAx>
    </c:plotArea>
    <c:legend>
      <c:legendPos val="b"/>
      <c:layout/>
      <c:overlay val="0"/>
    </c:legend>
    <c:plotVisOnly val="1"/>
    <c:dispBlanksAs val="gap"/>
    <c:showDLblsOverMax val="0"/>
  </c:chart>
  <c:spPr>
    <a:ln>
      <a:noFill/>
    </a:ln>
  </c:spPr>
  <c:txPr>
    <a:bodyPr/>
    <a:lstStyle/>
    <a:p>
      <a:pPr>
        <a:defRPr sz="8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lineChart>
        <c:grouping val="standard"/>
        <c:varyColors val="0"/>
        <c:ser>
          <c:idx val="0"/>
          <c:order val="0"/>
          <c:tx>
            <c:strRef>
              <c:f>'BO AF'!$B$40:$C$40</c:f>
              <c:strCache>
                <c:ptCount val="1"/>
                <c:pt idx="0">
                  <c:v>Résultat Net</c:v>
                </c:pt>
              </c:strCache>
            </c:strRef>
          </c:tx>
          <c:marker>
            <c:symbol val="none"/>
          </c:marker>
          <c:cat>
            <c:numRef>
              <c:f>'BO AF'!$A$41:$A$43</c:f>
              <c:numCache>
                <c:formatCode>General</c:formatCode>
                <c:ptCount val="3"/>
                <c:pt idx="0">
                  <c:v>0</c:v>
                </c:pt>
                <c:pt idx="1">
                  <c:v>0</c:v>
                </c:pt>
                <c:pt idx="2">
                  <c:v>0</c:v>
                </c:pt>
              </c:numCache>
            </c:numRef>
          </c:cat>
          <c:val>
            <c:numRef>
              <c:f>'BO AF'!$D$41:$D$43</c:f>
              <c:numCache>
                <c:formatCode>General</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1E6F-41F4-BE34-A19E9C0CC954}"/>
            </c:ext>
          </c:extLst>
        </c:ser>
        <c:dLbls>
          <c:showLegendKey val="0"/>
          <c:showVal val="0"/>
          <c:showCatName val="0"/>
          <c:showSerName val="0"/>
          <c:showPercent val="0"/>
          <c:showBubbleSize val="0"/>
        </c:dLbls>
        <c:smooth val="0"/>
        <c:axId val="698842208"/>
        <c:axId val="698842600"/>
      </c:lineChart>
      <c:catAx>
        <c:axId val="698842208"/>
        <c:scaling>
          <c:orientation val="minMax"/>
        </c:scaling>
        <c:delete val="0"/>
        <c:axPos val="b"/>
        <c:numFmt formatCode="General" sourceLinked="1"/>
        <c:majorTickMark val="none"/>
        <c:minorTickMark val="none"/>
        <c:tickLblPos val="nextTo"/>
        <c:crossAx val="698842600"/>
        <c:crosses val="autoZero"/>
        <c:auto val="1"/>
        <c:lblAlgn val="ctr"/>
        <c:lblOffset val="100"/>
        <c:noMultiLvlLbl val="0"/>
      </c:catAx>
      <c:valAx>
        <c:axId val="698842600"/>
        <c:scaling>
          <c:orientation val="minMax"/>
        </c:scaling>
        <c:delete val="0"/>
        <c:axPos val="l"/>
        <c:majorGridlines/>
        <c:numFmt formatCode="General" sourceLinked="1"/>
        <c:majorTickMark val="none"/>
        <c:minorTickMark val="none"/>
        <c:tickLblPos val="nextTo"/>
        <c:crossAx val="698842208"/>
        <c:crosses val="autoZero"/>
        <c:crossBetween val="between"/>
      </c:valAx>
    </c:plotArea>
    <c:plotVisOnly val="1"/>
    <c:dispBlanksAs val="gap"/>
    <c:showDLblsOverMax val="0"/>
  </c:chart>
  <c:spPr>
    <a:ln>
      <a:noFill/>
    </a:ln>
  </c:spPr>
  <c:txPr>
    <a:bodyPr/>
    <a:lstStyle/>
    <a:p>
      <a:pPr>
        <a:defRPr sz="8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'BO AF'!$A$69</c:f>
              <c:strCache>
                <c:ptCount val="1"/>
                <c:pt idx="0">
                  <c:v>Résultat Net</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'BO AF'!$E$69:$F$69</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1-2C57-4F58-ABE4-9C402D50C7CA}"/>
            </c:ext>
          </c:extLst>
        </c:ser>
        <c:ser>
          <c:idx val="1"/>
          <c:order val="1"/>
          <c:tx>
            <c:strRef>
              <c:f>'BO AF'!$A$70</c:f>
              <c:strCache>
                <c:ptCount val="1"/>
                <c:pt idx="0">
                  <c:v>Résultat d'exploitation</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'BO AF'!$E$70:$F$70</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3-2C57-4F58-ABE4-9C402D50C7CA}"/>
            </c:ext>
          </c:extLst>
        </c:ser>
        <c:ser>
          <c:idx val="2"/>
          <c:order val="2"/>
          <c:tx>
            <c:strRef>
              <c:f>'BO AF'!$A$71</c:f>
              <c:strCache>
                <c:ptCount val="1"/>
                <c:pt idx="0">
                  <c:v>Résultat financier</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'BO AF'!$E$71:$F$71</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5-2C57-4F58-ABE4-9C402D50C7CA}"/>
            </c:ext>
          </c:extLst>
        </c:ser>
        <c:ser>
          <c:idx val="3"/>
          <c:order val="3"/>
          <c:tx>
            <c:strRef>
              <c:f>'BO AF'!$A$72</c:f>
              <c:strCache>
                <c:ptCount val="1"/>
                <c:pt idx="0">
                  <c:v>Résultat exceptionnel</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AF'!$E$72:$F$72</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7-2C57-4F58-ABE4-9C402D50C7CA}"/>
            </c:ext>
          </c:extLst>
        </c:ser>
        <c:dLbls>
          <c:showLegendKey val="0"/>
          <c:showVal val="0"/>
          <c:showCatName val="0"/>
          <c:showSerName val="0"/>
          <c:showPercent val="0"/>
          <c:showBubbleSize val="0"/>
        </c:dLbls>
        <c:gapWidth val="55"/>
        <c:overlap val="100"/>
        <c:axId val="698837504"/>
        <c:axId val="698837896"/>
      </c:barChart>
      <c:catAx>
        <c:axId val="698837504"/>
        <c:scaling>
          <c:orientation val="minMax"/>
        </c:scaling>
        <c:delete val="1"/>
        <c:axPos val="b"/>
        <c:majorTickMark val="none"/>
        <c:minorTickMark val="none"/>
        <c:tickLblPos val="nextTo"/>
        <c:crossAx val="698837896"/>
        <c:crosses val="autoZero"/>
        <c:auto val="1"/>
        <c:lblAlgn val="ctr"/>
        <c:lblOffset val="100"/>
        <c:noMultiLvlLbl val="0"/>
      </c:catAx>
      <c:valAx>
        <c:axId val="698837896"/>
        <c:scaling>
          <c:orientation val="minMax"/>
        </c:scaling>
        <c:delete val="0"/>
        <c:axPos val="l"/>
        <c:majorGridlines/>
        <c:numFmt formatCode="0%" sourceLinked="1"/>
        <c:majorTickMark val="none"/>
        <c:minorTickMark val="none"/>
        <c:tickLblPos val="nextTo"/>
        <c:crossAx val="698837504"/>
        <c:crosses val="autoZero"/>
        <c:crossBetween val="between"/>
      </c:valAx>
    </c:plotArea>
    <c:legend>
      <c:legendPos val="r"/>
      <c:layout/>
      <c:overlay val="0"/>
      <c:txPr>
        <a:bodyPr/>
        <a:lstStyle/>
        <a:p>
          <a:pPr rtl="0">
            <a:defRPr/>
          </a:pPr>
          <a:endParaRPr lang="fr-FR"/>
        </a:p>
      </c:txPr>
    </c:legend>
    <c:plotVisOnly val="1"/>
    <c:dispBlanksAs val="gap"/>
    <c:showDLblsOverMax val="0"/>
  </c:chart>
  <c:spPr>
    <a:ln>
      <a:noFill/>
    </a:ln>
  </c:spPr>
  <c:txPr>
    <a:bodyPr/>
    <a:lstStyle/>
    <a:p>
      <a:pPr>
        <a:defRPr sz="8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'BO AF'!$C$233</c:f>
              <c:strCache>
                <c:ptCount val="1"/>
                <c:pt idx="0">
                  <c:v>FRNG négatif</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AF'!$F$233:$G$233</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AF33-4465-A3A3-72980FFE7DB5}"/>
            </c:ext>
          </c:extLst>
        </c:ser>
        <c:ser>
          <c:idx val="1"/>
          <c:order val="1"/>
          <c:tx>
            <c:strRef>
              <c:f>'BO AF'!$C$234</c:f>
              <c:strCache>
                <c:ptCount val="1"/>
                <c:pt idx="0">
                  <c:v>Ressources stables</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AF'!$F$234:$G$234</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1-AF33-4465-A3A3-72980FFE7DB5}"/>
            </c:ext>
          </c:extLst>
        </c:ser>
        <c:ser>
          <c:idx val="2"/>
          <c:order val="2"/>
          <c:tx>
            <c:strRef>
              <c:f>'BO AF'!$C$235</c:f>
              <c:strCache>
                <c:ptCount val="1"/>
                <c:pt idx="0">
                  <c:v>Emplois stables</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AF'!$F$235:$G$235</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2-AF33-4465-A3A3-72980FFE7DB5}"/>
            </c:ext>
          </c:extLst>
        </c:ser>
        <c:dLbls>
          <c:showLegendKey val="0"/>
          <c:showVal val="0"/>
          <c:showCatName val="0"/>
          <c:showSerName val="0"/>
          <c:showPercent val="0"/>
          <c:showBubbleSize val="0"/>
        </c:dLbls>
        <c:gapWidth val="55"/>
        <c:overlap val="100"/>
        <c:axId val="702602464"/>
        <c:axId val="702600112"/>
      </c:barChart>
      <c:catAx>
        <c:axId val="702602464"/>
        <c:scaling>
          <c:orientation val="minMax"/>
        </c:scaling>
        <c:delete val="1"/>
        <c:axPos val="b"/>
        <c:majorTickMark val="none"/>
        <c:minorTickMark val="none"/>
        <c:tickLblPos val="nextTo"/>
        <c:crossAx val="702600112"/>
        <c:crosses val="autoZero"/>
        <c:auto val="1"/>
        <c:lblAlgn val="ctr"/>
        <c:lblOffset val="100"/>
        <c:noMultiLvlLbl val="0"/>
      </c:catAx>
      <c:valAx>
        <c:axId val="702600112"/>
        <c:scaling>
          <c:orientation val="minMax"/>
        </c:scaling>
        <c:delete val="0"/>
        <c:axPos val="l"/>
        <c:majorGridlines/>
        <c:numFmt formatCode="0%" sourceLinked="1"/>
        <c:majorTickMark val="none"/>
        <c:minorTickMark val="none"/>
        <c:tickLblPos val="nextTo"/>
        <c:crossAx val="702602464"/>
        <c:crosses val="autoZero"/>
        <c:crossBetween val="between"/>
      </c:valAx>
    </c:plotArea>
    <c:legend>
      <c:legendPos val="r"/>
      <c:layout/>
      <c:overlay val="0"/>
    </c:legend>
    <c:plotVisOnly val="1"/>
    <c:dispBlanksAs val="gap"/>
    <c:showDLblsOverMax val="0"/>
  </c:chart>
  <c:spPr>
    <a:ln>
      <a:noFill/>
    </a:ln>
  </c:spPr>
  <c:txPr>
    <a:bodyPr/>
    <a:lstStyle/>
    <a:p>
      <a:pPr>
        <a:defRPr sz="8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'BO AF'!$D$239</c:f>
              <c:strCache>
                <c:ptCount val="1"/>
                <c:pt idx="0">
                  <c:v>Excédent FR</c:v>
                </c:pt>
              </c:strCache>
            </c:strRef>
          </c:tx>
          <c:spPr>
            <a:solidFill>
              <a:schemeClr val="accent3"/>
            </a:solidFill>
          </c:spPr>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AF'!$F$239:$G$239</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27AC-4699-9AA2-8A2931E13ED8}"/>
            </c:ext>
          </c:extLst>
        </c:ser>
        <c:ser>
          <c:idx val="1"/>
          <c:order val="1"/>
          <c:tx>
            <c:strRef>
              <c:f>'BO AF'!$D$240</c:f>
              <c:strCache>
                <c:ptCount val="1"/>
                <c:pt idx="0">
                  <c:v>EFRExploitation</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AF'!$F$240:$G$240</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1-27AC-4699-9AA2-8A2931E13ED8}"/>
            </c:ext>
          </c:extLst>
        </c:ser>
        <c:ser>
          <c:idx val="2"/>
          <c:order val="2"/>
          <c:tx>
            <c:strRef>
              <c:f>'BO AF'!$D$241</c:f>
              <c:strCache>
                <c:ptCount val="1"/>
                <c:pt idx="0">
                  <c:v>EFRHors Expl.</c:v>
                </c:pt>
              </c:strCache>
            </c:strRef>
          </c:tx>
          <c:spPr>
            <a:solidFill>
              <a:schemeClr val="accent1"/>
            </a:solidFill>
          </c:spPr>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AF'!$F$241:$G$241</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2-27AC-4699-9AA2-8A2931E13ED8}"/>
            </c:ext>
          </c:extLst>
        </c:ser>
        <c:dLbls>
          <c:showLegendKey val="0"/>
          <c:showVal val="0"/>
          <c:showCatName val="0"/>
          <c:showSerName val="0"/>
          <c:showPercent val="0"/>
          <c:showBubbleSize val="0"/>
        </c:dLbls>
        <c:gapWidth val="55"/>
        <c:overlap val="100"/>
        <c:axId val="702602856"/>
        <c:axId val="702603640"/>
      </c:barChart>
      <c:catAx>
        <c:axId val="702602856"/>
        <c:scaling>
          <c:orientation val="minMax"/>
        </c:scaling>
        <c:delete val="1"/>
        <c:axPos val="b"/>
        <c:majorTickMark val="none"/>
        <c:minorTickMark val="none"/>
        <c:tickLblPos val="nextTo"/>
        <c:crossAx val="702603640"/>
        <c:crosses val="autoZero"/>
        <c:auto val="1"/>
        <c:lblAlgn val="ctr"/>
        <c:lblOffset val="100"/>
        <c:noMultiLvlLbl val="0"/>
      </c:catAx>
      <c:valAx>
        <c:axId val="702603640"/>
        <c:scaling>
          <c:orientation val="minMax"/>
        </c:scaling>
        <c:delete val="0"/>
        <c:axPos val="l"/>
        <c:majorGridlines/>
        <c:numFmt formatCode="0%" sourceLinked="1"/>
        <c:majorTickMark val="none"/>
        <c:minorTickMark val="none"/>
        <c:tickLblPos val="nextTo"/>
        <c:crossAx val="702602856"/>
        <c:crosses val="autoZero"/>
        <c:crossBetween val="between"/>
      </c:valAx>
    </c:plotArea>
    <c:legend>
      <c:legendPos val="r"/>
      <c:layout>
        <c:manualLayout>
          <c:xMode val="edge"/>
          <c:yMode val="edge"/>
          <c:x val="0.60684103354505048"/>
          <c:y val="0.13358220513474608"/>
          <c:w val="0.36013143397570868"/>
          <c:h val="0.73283558973050777"/>
        </c:manualLayout>
      </c:layout>
      <c:overlay val="0"/>
      <c:spPr>
        <a:ln>
          <a:noFill/>
        </a:ln>
      </c:spPr>
    </c:legend>
    <c:plotVisOnly val="1"/>
    <c:dispBlanksAs val="gap"/>
    <c:showDLblsOverMax val="0"/>
  </c:chart>
  <c:spPr>
    <a:noFill/>
    <a:ln>
      <a:noFill/>
    </a:ln>
  </c:spPr>
  <c:txPr>
    <a:bodyPr/>
    <a:lstStyle/>
    <a:p>
      <a:pPr>
        <a:defRPr sz="80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'BO AF'!$A$270</c:f>
              <c:strCache>
                <c:ptCount val="1"/>
                <c:pt idx="0">
                  <c:v>Trésorerie négative</c:v>
                </c:pt>
              </c:strCache>
            </c:strRef>
          </c:tx>
          <c:spPr>
            <a:solidFill>
              <a:schemeClr val="accent2"/>
            </a:solidFill>
          </c:spPr>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AF'!$C$270:$D$270</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BD8C-42DD-B227-515DF1F99A88}"/>
            </c:ext>
          </c:extLst>
        </c:ser>
        <c:ser>
          <c:idx val="1"/>
          <c:order val="1"/>
          <c:tx>
            <c:strRef>
              <c:f>'BO AF'!$A$271</c:f>
              <c:strCache>
                <c:ptCount val="1"/>
                <c:pt idx="0">
                  <c:v>FRNG négatif</c:v>
                </c:pt>
              </c:strCache>
            </c:strRef>
          </c:tx>
          <c:spPr>
            <a:solidFill>
              <a:schemeClr val="accent1"/>
            </a:solidFill>
          </c:spPr>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AF'!$C$271:$D$271</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1-BD8C-42DD-B227-515DF1F99A88}"/>
            </c:ext>
          </c:extLst>
        </c:ser>
        <c:ser>
          <c:idx val="2"/>
          <c:order val="2"/>
          <c:tx>
            <c:strRef>
              <c:f>'BO AF'!$A$272</c:f>
              <c:strCache>
                <c:ptCount val="1"/>
                <c:pt idx="0">
                  <c:v>Excédent FR</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'BO AF'!$C$272:$D$272</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2-BD8C-42DD-B227-515DF1F99A88}"/>
            </c:ext>
          </c:extLst>
        </c:ser>
        <c:dLbls>
          <c:showLegendKey val="0"/>
          <c:showVal val="0"/>
          <c:showCatName val="0"/>
          <c:showSerName val="0"/>
          <c:showPercent val="0"/>
          <c:showBubbleSize val="0"/>
        </c:dLbls>
        <c:gapWidth val="55"/>
        <c:overlap val="100"/>
        <c:axId val="702602072"/>
        <c:axId val="702605600"/>
      </c:barChart>
      <c:catAx>
        <c:axId val="702602072"/>
        <c:scaling>
          <c:orientation val="minMax"/>
        </c:scaling>
        <c:delete val="1"/>
        <c:axPos val="b"/>
        <c:majorTickMark val="none"/>
        <c:minorTickMark val="none"/>
        <c:tickLblPos val="nextTo"/>
        <c:crossAx val="702605600"/>
        <c:crosses val="autoZero"/>
        <c:auto val="1"/>
        <c:lblAlgn val="ctr"/>
        <c:lblOffset val="100"/>
        <c:noMultiLvlLbl val="0"/>
      </c:catAx>
      <c:valAx>
        <c:axId val="702605600"/>
        <c:scaling>
          <c:orientation val="minMax"/>
        </c:scaling>
        <c:delete val="0"/>
        <c:axPos val="l"/>
        <c:majorGridlines/>
        <c:numFmt formatCode="0%" sourceLinked="1"/>
        <c:majorTickMark val="none"/>
        <c:minorTickMark val="none"/>
        <c:tickLblPos val="nextTo"/>
        <c:crossAx val="702602072"/>
        <c:crosses val="autoZero"/>
        <c:crossBetween val="between"/>
      </c:valAx>
    </c:plotArea>
    <c:legend>
      <c:legendPos val="r"/>
      <c:layout/>
      <c:overlay val="0"/>
    </c:legend>
    <c:plotVisOnly val="1"/>
    <c:dispBlanksAs val="gap"/>
    <c:showDLblsOverMax val="0"/>
  </c:chart>
  <c:spPr>
    <a:ln>
      <a:noFill/>
    </a:ln>
  </c:spPr>
  <c:txPr>
    <a:bodyPr/>
    <a:lstStyle/>
    <a:p>
      <a:pPr>
        <a:defRPr sz="8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lineChart>
        <c:grouping val="standard"/>
        <c:varyColors val="0"/>
        <c:ser>
          <c:idx val="0"/>
          <c:order val="0"/>
          <c:tx>
            <c:strRef>
              <c:f>'P5'!$A$21:$B$21</c:f>
              <c:strCache>
                <c:ptCount val="2"/>
                <c:pt idx="0">
                  <c:v>CA HT</c:v>
                </c:pt>
              </c:strCache>
            </c:strRef>
          </c:tx>
          <c:spPr>
            <a:ln w="22225" cap="rnd" cmpd="sng" algn="ctr">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35000"/>
                          <a:lumOff val="65000"/>
                        </a:schemeClr>
                      </a:solidFill>
                    </a:ln>
                    <a:effectLst/>
                  </c:spPr>
                </c15:leaderLines>
              </c:ext>
            </c:extLst>
          </c:dLbls>
          <c:cat>
            <c:strRef>
              <c:f>'P5'!$C$19:$I$19</c:f>
              <c:strCache>
                <c:ptCount val="1"/>
                <c:pt idx="0">
                  <c:v>Année 1</c:v>
                </c:pt>
              </c:strCache>
            </c:strRef>
          </c:cat>
          <c:val>
            <c:numRef>
              <c:f>'P5'!$C$21:$I$21</c:f>
              <c:numCache>
                <c:formatCode>#,##0</c:formatCode>
                <c:ptCount val="7"/>
                <c:pt idx="0">
                  <c:v>0</c:v>
                </c:pt>
                <c:pt idx="1">
                  <c:v>0</c:v>
                </c:pt>
                <c:pt idx="2">
                  <c:v>0</c:v>
                </c:pt>
                <c:pt idx="3">
                  <c:v>0</c:v>
                </c:pt>
                <c:pt idx="4">
                  <c:v>0</c:v>
                </c:pt>
                <c:pt idx="5">
                  <c:v>0</c:v>
                </c:pt>
                <c:pt idx="6">
                  <c:v>0</c:v>
                </c:pt>
              </c:numCache>
            </c:numRef>
          </c:val>
          <c:smooth val="0"/>
          <c:extLst xmlns:c16r2="http://schemas.microsoft.com/office/drawing/2015/06/chart">
            <c:ext xmlns:c16="http://schemas.microsoft.com/office/drawing/2014/chart" uri="{C3380CC4-5D6E-409C-BE32-E72D297353CC}">
              <c16:uniqueId val="{00000000-2A3A-4F35-953B-F78763269E97}"/>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702603248"/>
        <c:axId val="702601288"/>
      </c:lineChart>
      <c:catAx>
        <c:axId val="702603248"/>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fr-FR"/>
          </a:p>
        </c:txPr>
        <c:crossAx val="702601288"/>
        <c:crosses val="autoZero"/>
        <c:auto val="1"/>
        <c:lblAlgn val="ctr"/>
        <c:lblOffset val="100"/>
        <c:noMultiLvlLbl val="0"/>
      </c:catAx>
      <c:valAx>
        <c:axId val="70260128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fr-FR"/>
          </a:p>
        </c:txPr>
        <c:crossAx val="702603248"/>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cap="none" spc="0" normalizeH="0" baseline="0">
                <a:solidFill>
                  <a:schemeClr val="tx1">
                    <a:lumMod val="65000"/>
                    <a:lumOff val="35000"/>
                  </a:schemeClr>
                </a:solidFill>
                <a:latin typeface="+mn-lt"/>
                <a:ea typeface="+mj-ea"/>
                <a:cs typeface="+mj-cs"/>
              </a:defRPr>
            </a:pPr>
            <a:r>
              <a:rPr lang="en-US" sz="1200">
                <a:latin typeface="+mn-lt"/>
              </a:rPr>
              <a:t>REPARTITION DU CHIFFRE D'AFFAIRES</a:t>
            </a:r>
          </a:p>
        </c:rich>
      </c:tx>
      <c:layout/>
      <c:overlay val="0"/>
      <c:spPr>
        <a:noFill/>
        <a:ln>
          <a:noFill/>
        </a:ln>
        <a:effectLst/>
      </c:spPr>
    </c:title>
    <c:autoTitleDeleted val="0"/>
    <c:plotArea>
      <c:layout/>
      <c:barChart>
        <c:barDir val="col"/>
        <c:grouping val="stacked"/>
        <c:varyColors val="0"/>
        <c:ser>
          <c:idx val="0"/>
          <c:order val="0"/>
          <c:invertIfNegative val="0"/>
          <c:cat>
            <c:strRef>
              <c:f>BO!$E$27:$E$38</c:f>
              <c:strCache>
                <c:ptCount val="12"/>
                <c:pt idx="0">
                  <c:v>janvier</c:v>
                </c:pt>
                <c:pt idx="1">
                  <c:v>janvier</c:v>
                </c:pt>
                <c:pt idx="2">
                  <c:v>février</c:v>
                </c:pt>
                <c:pt idx="3">
                  <c:v>mars</c:v>
                </c:pt>
                <c:pt idx="4">
                  <c:v>avril</c:v>
                </c:pt>
                <c:pt idx="5">
                  <c:v>mai</c:v>
                </c:pt>
                <c:pt idx="6">
                  <c:v>juin</c:v>
                </c:pt>
                <c:pt idx="7">
                  <c:v>juillet</c:v>
                </c:pt>
                <c:pt idx="8">
                  <c:v>août</c:v>
                </c:pt>
                <c:pt idx="9">
                  <c:v>septembre</c:v>
                </c:pt>
                <c:pt idx="10">
                  <c:v>octobre</c:v>
                </c:pt>
                <c:pt idx="11">
                  <c:v>novembre</c:v>
                </c:pt>
              </c:strCache>
            </c:strRef>
          </c:cat>
          <c:val>
            <c:numRef>
              <c:f>BO!$F$27:$F$38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B24E-4D6E-AB18-D4C66A704952}"/>
            </c:ext>
          </c:extLst>
        </c:ser>
        <c:dLbls>
          <c:showLegendKey val="0"/>
          <c:showVal val="0"/>
          <c:showCatName val="0"/>
          <c:showSerName val="0"/>
          <c:showPercent val="0"/>
          <c:showBubbleSize val="0"/>
        </c:dLbls>
        <c:gapWidth val="150"/>
        <c:overlap val="100"/>
        <c:axId val="702605992"/>
        <c:axId val="702599328"/>
      </c:barChart>
      <c:catAx>
        <c:axId val="70260599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cap="none" spc="0" normalizeH="0" baseline="0">
                <a:solidFill>
                  <a:schemeClr val="tx1">
                    <a:lumMod val="65000"/>
                    <a:lumOff val="35000"/>
                  </a:schemeClr>
                </a:solidFill>
                <a:latin typeface="+mn-lt"/>
                <a:ea typeface="+mn-ea"/>
                <a:cs typeface="+mn-cs"/>
              </a:defRPr>
            </a:pPr>
            <a:endParaRPr lang="fr-FR"/>
          </a:p>
        </c:txPr>
        <c:crossAx val="702599328"/>
        <c:crosses val="autoZero"/>
        <c:auto val="1"/>
        <c:lblAlgn val="ctr"/>
        <c:lblOffset val="100"/>
        <c:noMultiLvlLbl val="0"/>
      </c:catAx>
      <c:valAx>
        <c:axId val="702599328"/>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702605992"/>
        <c:crosses val="autoZero"/>
        <c:crossBetween val="between"/>
      </c:valAx>
      <c:dTable>
        <c:showHorzBorder val="1"/>
        <c:showVertBorder val="1"/>
        <c:showOutline val="1"/>
        <c:showKeys val="0"/>
        <c:spPr>
          <a:noFill/>
          <a:ln w="9525">
            <a:solidFill>
              <a:schemeClr val="tx1">
                <a:lumMod val="15000"/>
                <a:lumOff val="85000"/>
              </a:schemeClr>
            </a:solidFill>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fr-FR"/>
          </a:p>
        </c:txPr>
      </c:dTable>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700"/>
      </a:pPr>
      <a:endParaRPr lang="fr-FR"/>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278946</xdr:colOff>
      <xdr:row>81</xdr:row>
      <xdr:rowOff>175846</xdr:rowOff>
    </xdr:from>
    <xdr:to>
      <xdr:col>1</xdr:col>
      <xdr:colOff>435429</xdr:colOff>
      <xdr:row>96</xdr:row>
      <xdr:rowOff>7327</xdr:rowOff>
    </xdr:to>
    <xdr:sp macro="" textlink="">
      <xdr:nvSpPr>
        <xdr:cNvPr id="3" name="Flèche vers le bas 2">
          <a:extLst>
            <a:ext uri="{FF2B5EF4-FFF2-40B4-BE49-F238E27FC236}">
              <a16:creationId xmlns:a16="http://schemas.microsoft.com/office/drawing/2014/main" xmlns="" id="{00000000-0008-0000-0000-000003000000}"/>
            </a:ext>
          </a:extLst>
        </xdr:cNvPr>
        <xdr:cNvSpPr/>
      </xdr:nvSpPr>
      <xdr:spPr>
        <a:xfrm>
          <a:off x="278946" y="13811250"/>
          <a:ext cx="566791" cy="2688981"/>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88590</xdr:colOff>
      <xdr:row>93</xdr:row>
      <xdr:rowOff>93917</xdr:rowOff>
    </xdr:from>
    <xdr:to>
      <xdr:col>7</xdr:col>
      <xdr:colOff>476916</xdr:colOff>
      <xdr:row>96</xdr:row>
      <xdr:rowOff>174514</xdr:rowOff>
    </xdr:to>
    <xdr:sp macro="" textlink="">
      <xdr:nvSpPr>
        <xdr:cNvPr id="4" name="Demi-tour 3">
          <a:extLst>
            <a:ext uri="{FF2B5EF4-FFF2-40B4-BE49-F238E27FC236}">
              <a16:creationId xmlns:a16="http://schemas.microsoft.com/office/drawing/2014/main" xmlns="" id="{00000000-0008-0000-0000-000004000000}"/>
            </a:ext>
          </a:extLst>
        </xdr:cNvPr>
        <xdr:cNvSpPr/>
      </xdr:nvSpPr>
      <xdr:spPr>
        <a:xfrm rot="5400000" flipH="1">
          <a:off x="4935681" y="17976939"/>
          <a:ext cx="652097" cy="388326"/>
        </a:xfrm>
        <a:prstGeom prst="utur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92604</xdr:colOff>
      <xdr:row>8</xdr:row>
      <xdr:rowOff>22489</xdr:rowOff>
    </xdr:from>
    <xdr:to>
      <xdr:col>2</xdr:col>
      <xdr:colOff>836083</xdr:colOff>
      <xdr:row>16</xdr:row>
      <xdr:rowOff>95251</xdr:rowOff>
    </xdr:to>
    <xdr:graphicFrame macro="">
      <xdr:nvGraphicFramePr>
        <xdr:cNvPr id="4" name="Graphique 3">
          <a:extLst>
            <a:ext uri="{FF2B5EF4-FFF2-40B4-BE49-F238E27FC236}">
              <a16:creationId xmlns:a16="http://schemas.microsoft.com/office/drawing/2014/main" xmlns=""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676276</xdr:colOff>
      <xdr:row>16</xdr:row>
      <xdr:rowOff>190501</xdr:rowOff>
    </xdr:from>
    <xdr:to>
      <xdr:col>7</xdr:col>
      <xdr:colOff>720533</xdr:colOff>
      <xdr:row>23</xdr:row>
      <xdr:rowOff>148167</xdr:rowOff>
    </xdr:to>
    <xdr:graphicFrame macro="">
      <xdr:nvGraphicFramePr>
        <xdr:cNvPr id="7" name="Graphique 6">
          <a:extLst>
            <a:ext uri="{FF2B5EF4-FFF2-40B4-BE49-F238E27FC236}">
              <a16:creationId xmlns:a16="http://schemas.microsoft.com/office/drawing/2014/main" xmlns=""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102658</xdr:colOff>
      <xdr:row>23</xdr:row>
      <xdr:rowOff>31749</xdr:rowOff>
    </xdr:from>
    <xdr:to>
      <xdr:col>2</xdr:col>
      <xdr:colOff>825500</xdr:colOff>
      <xdr:row>32</xdr:row>
      <xdr:rowOff>41274</xdr:rowOff>
    </xdr:to>
    <xdr:graphicFrame macro="">
      <xdr:nvGraphicFramePr>
        <xdr:cNvPr id="8" name="Graphique 7">
          <a:extLst>
            <a:ext uri="{FF2B5EF4-FFF2-40B4-BE49-F238E27FC236}">
              <a16:creationId xmlns:a16="http://schemas.microsoft.com/office/drawing/2014/main" xmlns=""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8660</xdr:colOff>
      <xdr:row>33</xdr:row>
      <xdr:rowOff>63501</xdr:rowOff>
    </xdr:from>
    <xdr:to>
      <xdr:col>7</xdr:col>
      <xdr:colOff>764115</xdr:colOff>
      <xdr:row>42</xdr:row>
      <xdr:rowOff>155864</xdr:rowOff>
    </xdr:to>
    <xdr:graphicFrame macro="">
      <xdr:nvGraphicFramePr>
        <xdr:cNvPr id="9" name="Graphique 8">
          <a:extLst>
            <a:ext uri="{FF2B5EF4-FFF2-40B4-BE49-F238E27FC236}">
              <a16:creationId xmlns:a16="http://schemas.microsoft.com/office/drawing/2014/main" xmlns=""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33673</xdr:colOff>
      <xdr:row>29</xdr:row>
      <xdr:rowOff>35312</xdr:rowOff>
    </xdr:from>
    <xdr:to>
      <xdr:col>11</xdr:col>
      <xdr:colOff>700423</xdr:colOff>
      <xdr:row>35</xdr:row>
      <xdr:rowOff>144318</xdr:rowOff>
    </xdr:to>
    <xdr:graphicFrame macro="">
      <xdr:nvGraphicFramePr>
        <xdr:cNvPr id="11" name="Graphique 10">
          <a:extLst>
            <a:ext uri="{FF2B5EF4-FFF2-40B4-BE49-F238E27FC236}">
              <a16:creationId xmlns:a16="http://schemas.microsoft.com/office/drawing/2014/main" xmlns=""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126038</xdr:colOff>
      <xdr:row>36</xdr:row>
      <xdr:rowOff>34636</xdr:rowOff>
    </xdr:from>
    <xdr:to>
      <xdr:col>16</xdr:col>
      <xdr:colOff>25977</xdr:colOff>
      <xdr:row>42</xdr:row>
      <xdr:rowOff>182803</xdr:rowOff>
    </xdr:to>
    <xdr:graphicFrame macro="">
      <xdr:nvGraphicFramePr>
        <xdr:cNvPr id="13" name="Graphique 12">
          <a:extLst>
            <a:ext uri="{FF2B5EF4-FFF2-40B4-BE49-F238E27FC236}">
              <a16:creationId xmlns:a16="http://schemas.microsoft.com/office/drawing/2014/main" xmlns="" id="{00000000-0008-0000-0A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105834</xdr:colOff>
      <xdr:row>44</xdr:row>
      <xdr:rowOff>35599</xdr:rowOff>
    </xdr:from>
    <xdr:to>
      <xdr:col>11</xdr:col>
      <xdr:colOff>687918</xdr:colOff>
      <xdr:row>51</xdr:row>
      <xdr:rowOff>144078</xdr:rowOff>
    </xdr:to>
    <xdr:graphicFrame macro="">
      <xdr:nvGraphicFramePr>
        <xdr:cNvPr id="14" name="Graphique 13">
          <a:extLst>
            <a:ext uri="{FF2B5EF4-FFF2-40B4-BE49-F238E27FC236}">
              <a16:creationId xmlns:a16="http://schemas.microsoft.com/office/drawing/2014/main" xmlns="" id="{5AE1FC17-73E5-4367-8283-1A8D17FF7D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315446</xdr:colOff>
      <xdr:row>7</xdr:row>
      <xdr:rowOff>66114</xdr:rowOff>
    </xdr:from>
    <xdr:to>
      <xdr:col>8</xdr:col>
      <xdr:colOff>343460</xdr:colOff>
      <xdr:row>16</xdr:row>
      <xdr:rowOff>111125</xdr:rowOff>
    </xdr:to>
    <xdr:graphicFrame macro="">
      <xdr:nvGraphicFramePr>
        <xdr:cNvPr id="2" name="Graphique 1">
          <a:extLst>
            <a:ext uri="{FF2B5EF4-FFF2-40B4-BE49-F238E27FC236}">
              <a16:creationId xmlns:a16="http://schemas.microsoft.com/office/drawing/2014/main" xmlns=""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173183</xdr:rowOff>
    </xdr:from>
    <xdr:to>
      <xdr:col>9</xdr:col>
      <xdr:colOff>2309</xdr:colOff>
      <xdr:row>38</xdr:row>
      <xdr:rowOff>158751</xdr:rowOff>
    </xdr:to>
    <xdr:graphicFrame macro="">
      <xdr:nvGraphicFramePr>
        <xdr:cNvPr id="3" name="Graphique 2">
          <a:extLst>
            <a:ext uri="{FF2B5EF4-FFF2-40B4-BE49-F238E27FC236}">
              <a16:creationId xmlns:a16="http://schemas.microsoft.com/office/drawing/2014/main" xmlns=""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95251</xdr:rowOff>
    </xdr:from>
    <xdr:to>
      <xdr:col>8</xdr:col>
      <xdr:colOff>733425</xdr:colOff>
      <xdr:row>26</xdr:row>
      <xdr:rowOff>138547</xdr:rowOff>
    </xdr:to>
    <xdr:graphicFrame macro="">
      <xdr:nvGraphicFramePr>
        <xdr:cNvPr id="2" name="Graphique 1">
          <a:extLst>
            <a:ext uri="{FF2B5EF4-FFF2-40B4-BE49-F238E27FC236}">
              <a16:creationId xmlns:a16="http://schemas.microsoft.com/office/drawing/2014/main" xmlns="" id="{17A314DD-0783-40BB-9A7E-64587035F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rincipal/Mes%20documents/Projets/Plan%20d'affaires/PREVISIONNEL%20FINANCIER%20(tableaux%20vierg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20et%20besoins%20pr&#233;visionn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té"/>
      <sheetName val="AVERTISSEMENT"/>
      <sheetName val="Fiche signalétique"/>
      <sheetName val="besoins"/>
      <sheetName val="Ressources "/>
      <sheetName val="PF Sté"/>
      <sheetName val="PF EI"/>
      <sheetName val="EXPLICATION CA"/>
      <sheetName val="Saisonnalité"/>
      <sheetName val="Détail des charges"/>
      <sheetName val="CR Sté"/>
      <sheetName val="CR EI"/>
      <sheetName val="Plan de trésorerie"/>
      <sheetName val="Seuil de rentabilité"/>
      <sheetName val="Calcul de prêt 1"/>
      <sheetName val="Calcul de prêt 2"/>
      <sheetName val="Comparatif Fiscal IR-IS"/>
      <sheetName val="Calcul Impôts"/>
      <sheetName val="Infos Impositions"/>
      <sheetName val="Comparatif Sté EI"/>
      <sheetName val="PREVISIONNEL FINANCIER (tablea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5">
          <cell r="C15">
            <v>5.1999999999999998E-2</v>
          </cell>
        </row>
        <row r="17">
          <cell r="C17">
            <v>12</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AFin"/>
      <sheetName val="Inv-Fin"/>
      <sheetName val="CA prévi"/>
      <sheetName val="Charges"/>
      <sheetName val="BFR"/>
      <sheetName val="Emprunt 1"/>
      <sheetName val="Emprunt 2"/>
      <sheetName val="Emprunt 3"/>
      <sheetName val="Back office"/>
      <sheetName val="BO Option Fin"/>
      <sheetName val="BO Cout Fin"/>
      <sheetName val="Rapport"/>
      <sheetName val="BO A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hème Office">
  <a:themeElements>
    <a:clrScheme name="Solstice">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103"/>
  <sheetViews>
    <sheetView topLeftCell="A73" zoomScale="110" zoomScaleNormal="110" workbookViewId="0">
      <selection activeCell="C100" sqref="C100"/>
    </sheetView>
  </sheetViews>
  <sheetFormatPr baseColWidth="10" defaultRowHeight="15"/>
  <cols>
    <col min="1" max="1" width="6.140625" customWidth="1"/>
    <col min="9" max="9" width="6" customWidth="1"/>
  </cols>
  <sheetData>
    <row r="1" spans="1:10">
      <c r="A1" s="1"/>
      <c r="B1" s="1"/>
      <c r="C1" s="1"/>
      <c r="D1" s="1"/>
      <c r="E1" s="1"/>
      <c r="F1" s="1"/>
      <c r="G1" s="1"/>
      <c r="H1" s="1"/>
      <c r="I1" s="1"/>
      <c r="J1" s="5"/>
    </row>
    <row r="2" spans="1:10" ht="15" customHeight="1">
      <c r="A2" s="1"/>
      <c r="B2" s="1"/>
      <c r="C2" s="742" t="s">
        <v>580</v>
      </c>
      <c r="D2" s="742"/>
      <c r="E2" s="742"/>
      <c r="F2" s="742"/>
      <c r="G2" s="742"/>
      <c r="H2" s="742"/>
      <c r="I2" s="742"/>
      <c r="J2" s="100"/>
    </row>
    <row r="3" spans="1:10" ht="15" customHeight="1">
      <c r="A3" s="1"/>
      <c r="B3" s="1"/>
      <c r="C3" s="742"/>
      <c r="D3" s="742"/>
      <c r="E3" s="742"/>
      <c r="F3" s="742"/>
      <c r="G3" s="742"/>
      <c r="H3" s="742"/>
      <c r="I3" s="742"/>
      <c r="J3" s="100"/>
    </row>
    <row r="4" spans="1:10" ht="15" customHeight="1">
      <c r="C4" s="742"/>
      <c r="D4" s="742"/>
      <c r="E4" s="742"/>
      <c r="F4" s="742"/>
      <c r="G4" s="742"/>
      <c r="H4" s="742"/>
      <c r="I4" s="742"/>
      <c r="J4" s="100"/>
    </row>
    <row r="11" spans="1:10" ht="15.75">
      <c r="A11" s="557" t="s">
        <v>600</v>
      </c>
    </row>
    <row r="12" spans="1:10">
      <c r="A12" s="36" t="str">
        <f>A26</f>
        <v>●</v>
      </c>
      <c r="B12" s="711" t="s">
        <v>602</v>
      </c>
      <c r="C12" s="711"/>
      <c r="D12" s="711"/>
      <c r="E12" s="711"/>
      <c r="F12" s="711"/>
      <c r="G12" s="711"/>
      <c r="H12" s="711"/>
      <c r="I12" s="711"/>
    </row>
    <row r="13" spans="1:10">
      <c r="A13" s="36"/>
      <c r="B13" s="711"/>
      <c r="C13" s="711"/>
      <c r="D13" s="711"/>
      <c r="E13" s="711"/>
      <c r="F13" s="711"/>
      <c r="G13" s="711"/>
      <c r="H13" s="711"/>
      <c r="I13" s="711"/>
    </row>
    <row r="14" spans="1:10">
      <c r="A14" s="36"/>
      <c r="B14" s="743" t="s">
        <v>601</v>
      </c>
      <c r="C14" s="743"/>
      <c r="D14" s="743"/>
      <c r="E14" s="743"/>
      <c r="F14" s="743"/>
      <c r="G14" s="743"/>
      <c r="H14" s="743"/>
      <c r="I14" s="743"/>
    </row>
    <row r="15" spans="1:10">
      <c r="A15" s="36"/>
      <c r="B15" s="743"/>
      <c r="C15" s="743"/>
      <c r="D15" s="743"/>
      <c r="E15" s="743"/>
      <c r="F15" s="743"/>
      <c r="G15" s="743"/>
      <c r="H15" s="743"/>
      <c r="I15" s="743"/>
    </row>
    <row r="16" spans="1:10" ht="15" customHeight="1">
      <c r="A16" s="36" t="str">
        <f>A27</f>
        <v>●</v>
      </c>
      <c r="B16" s="713" t="s">
        <v>614</v>
      </c>
      <c r="C16" s="713"/>
      <c r="D16" s="713"/>
      <c r="E16" s="713"/>
      <c r="F16" s="713"/>
      <c r="G16" s="713"/>
      <c r="H16" s="713"/>
      <c r="I16" s="713"/>
    </row>
    <row r="17" spans="1:13" ht="15" customHeight="1">
      <c r="A17" s="36"/>
      <c r="B17" s="548"/>
      <c r="C17" s="548"/>
      <c r="D17" s="548"/>
      <c r="E17" s="548"/>
      <c r="F17" s="548"/>
      <c r="G17" s="548"/>
      <c r="H17" s="548"/>
      <c r="I17" s="548"/>
    </row>
    <row r="18" spans="1:13" ht="15.75">
      <c r="A18" s="557" t="s">
        <v>594</v>
      </c>
    </row>
    <row r="19" spans="1:13">
      <c r="A19" s="36" t="str">
        <f>A12</f>
        <v>●</v>
      </c>
      <c r="B19" s="711" t="s">
        <v>603</v>
      </c>
      <c r="C19" s="711"/>
      <c r="D19" s="711"/>
      <c r="E19" s="711"/>
      <c r="F19" s="711"/>
      <c r="G19" s="711"/>
      <c r="H19" s="711"/>
      <c r="I19" s="711"/>
    </row>
    <row r="20" spans="1:13">
      <c r="A20" s="36"/>
      <c r="B20" s="711"/>
      <c r="C20" s="711"/>
      <c r="D20" s="711"/>
      <c r="E20" s="711"/>
      <c r="F20" s="711"/>
      <c r="G20" s="711"/>
      <c r="H20" s="711"/>
      <c r="I20" s="711"/>
    </row>
    <row r="21" spans="1:13">
      <c r="A21" s="36" t="str">
        <f>A19</f>
        <v>●</v>
      </c>
      <c r="B21" s="711" t="s">
        <v>604</v>
      </c>
      <c r="C21" s="711"/>
      <c r="D21" s="711"/>
      <c r="E21" s="711"/>
      <c r="F21" s="711"/>
      <c r="G21" s="711"/>
      <c r="H21" s="711"/>
      <c r="I21" s="711"/>
    </row>
    <row r="22" spans="1:13">
      <c r="B22" s="711"/>
      <c r="C22" s="711"/>
      <c r="D22" s="711"/>
      <c r="E22" s="711"/>
      <c r="F22" s="711"/>
      <c r="G22" s="711"/>
      <c r="H22" s="711"/>
      <c r="I22" s="711"/>
    </row>
    <row r="23" spans="1:13">
      <c r="B23" s="711"/>
      <c r="C23" s="711"/>
      <c r="D23" s="711"/>
      <c r="E23" s="711"/>
      <c r="F23" s="711"/>
      <c r="G23" s="711"/>
      <c r="H23" s="711"/>
      <c r="I23" s="711"/>
    </row>
    <row r="24" spans="1:13">
      <c r="B24" s="559"/>
      <c r="C24" s="559"/>
      <c r="D24" s="559"/>
      <c r="E24" s="559"/>
      <c r="F24" s="559"/>
      <c r="G24" s="559"/>
      <c r="H24" s="559"/>
      <c r="I24" s="559"/>
    </row>
    <row r="25" spans="1:13" ht="15" customHeight="1">
      <c r="A25" s="557" t="s">
        <v>597</v>
      </c>
      <c r="C25" s="358"/>
      <c r="D25" s="358"/>
      <c r="E25" s="358"/>
      <c r="F25" s="358"/>
      <c r="G25" s="358"/>
      <c r="H25" s="358"/>
      <c r="I25" s="358"/>
    </row>
    <row r="26" spans="1:13" ht="15" customHeight="1">
      <c r="A26" s="558" t="s">
        <v>598</v>
      </c>
      <c r="B26" t="s">
        <v>605</v>
      </c>
      <c r="C26" s="549"/>
      <c r="D26" s="549"/>
      <c r="E26" s="549"/>
      <c r="F26" s="549"/>
      <c r="G26" s="549"/>
      <c r="H26" s="549"/>
      <c r="I26" s="549"/>
    </row>
    <row r="27" spans="1:13">
      <c r="A27" s="558" t="s">
        <v>598</v>
      </c>
      <c r="B27" s="358" t="s">
        <v>581</v>
      </c>
      <c r="C27" s="549"/>
      <c r="D27" s="549"/>
      <c r="E27" s="549"/>
      <c r="F27" s="549"/>
      <c r="G27" s="549"/>
      <c r="H27" s="549"/>
      <c r="I27" s="549"/>
    </row>
    <row r="28" spans="1:13">
      <c r="A28" s="558" t="s">
        <v>598</v>
      </c>
      <c r="B28" s="358" t="s">
        <v>583</v>
      </c>
      <c r="C28" s="549"/>
      <c r="D28" s="549"/>
      <c r="E28" s="549"/>
      <c r="F28" s="549"/>
      <c r="G28" s="549"/>
      <c r="H28" s="549"/>
      <c r="I28" s="549"/>
    </row>
    <row r="29" spans="1:13">
      <c r="A29" s="558" t="s">
        <v>598</v>
      </c>
      <c r="B29" s="358" t="s">
        <v>582</v>
      </c>
    </row>
    <row r="30" spans="1:13">
      <c r="M30" s="556"/>
    </row>
    <row r="31" spans="1:13">
      <c r="A31" s="711" t="s">
        <v>584</v>
      </c>
      <c r="B31" s="711"/>
      <c r="C31" s="711"/>
      <c r="D31" s="711"/>
      <c r="E31" s="711"/>
      <c r="F31" s="711"/>
      <c r="G31" s="711"/>
      <c r="H31" s="711"/>
      <c r="I31" s="711"/>
    </row>
    <row r="32" spans="1:13">
      <c r="A32" s="711"/>
      <c r="B32" s="711"/>
      <c r="C32" s="711"/>
      <c r="D32" s="711"/>
      <c r="E32" s="711"/>
      <c r="F32" s="711"/>
      <c r="G32" s="711"/>
      <c r="H32" s="711"/>
      <c r="I32" s="711"/>
      <c r="M32" s="556"/>
    </row>
    <row r="33" spans="1:11" ht="9" customHeight="1"/>
    <row r="34" spans="1:11" ht="15" customHeight="1">
      <c r="A34" s="754" t="s">
        <v>585</v>
      </c>
      <c r="B34" s="754"/>
      <c r="C34" s="765" t="s">
        <v>586</v>
      </c>
      <c r="D34" s="766"/>
      <c r="E34" s="766"/>
      <c r="F34" s="766"/>
      <c r="G34" s="766"/>
      <c r="H34" s="766"/>
      <c r="I34" s="767"/>
    </row>
    <row r="35" spans="1:11">
      <c r="A35" s="754"/>
      <c r="B35" s="754"/>
      <c r="C35" s="768"/>
      <c r="D35" s="769"/>
      <c r="E35" s="769"/>
      <c r="F35" s="769"/>
      <c r="G35" s="769"/>
      <c r="H35" s="769"/>
      <c r="I35" s="770"/>
    </row>
    <row r="36" spans="1:11" ht="15" customHeight="1">
      <c r="A36" s="755" t="s">
        <v>587</v>
      </c>
      <c r="B36" s="755"/>
      <c r="C36" s="755" t="s">
        <v>588</v>
      </c>
      <c r="D36" s="755"/>
      <c r="E36" s="756" t="s">
        <v>589</v>
      </c>
      <c r="F36" s="757"/>
      <c r="G36" s="757"/>
      <c r="H36" s="757"/>
      <c r="I36" s="758"/>
    </row>
    <row r="37" spans="1:11">
      <c r="A37" s="755"/>
      <c r="B37" s="755"/>
      <c r="C37" s="755"/>
      <c r="D37" s="755"/>
      <c r="E37" s="759"/>
      <c r="F37" s="760"/>
      <c r="G37" s="760"/>
      <c r="H37" s="760"/>
      <c r="I37" s="761"/>
    </row>
    <row r="38" spans="1:11">
      <c r="A38" s="755"/>
      <c r="B38" s="755"/>
      <c r="C38" s="755"/>
      <c r="D38" s="755"/>
      <c r="E38" s="762"/>
      <c r="F38" s="763"/>
      <c r="G38" s="763"/>
      <c r="H38" s="763"/>
      <c r="I38" s="764"/>
      <c r="K38" s="358"/>
    </row>
    <row r="39" spans="1:11" ht="15" customHeight="1">
      <c r="A39" s="753" t="s">
        <v>592</v>
      </c>
      <c r="B39" s="753"/>
      <c r="C39" s="753" t="s">
        <v>590</v>
      </c>
      <c r="D39" s="753"/>
      <c r="E39" s="744" t="s">
        <v>591</v>
      </c>
      <c r="F39" s="745"/>
      <c r="G39" s="745"/>
      <c r="H39" s="745"/>
      <c r="I39" s="746"/>
    </row>
    <row r="40" spans="1:11">
      <c r="A40" s="753"/>
      <c r="B40" s="753"/>
      <c r="C40" s="753"/>
      <c r="D40" s="753"/>
      <c r="E40" s="747"/>
      <c r="F40" s="748"/>
      <c r="G40" s="748"/>
      <c r="H40" s="748"/>
      <c r="I40" s="749"/>
    </row>
    <row r="41" spans="1:11">
      <c r="A41" s="753"/>
      <c r="B41" s="753"/>
      <c r="C41" s="753"/>
      <c r="D41" s="753"/>
      <c r="E41" s="747"/>
      <c r="F41" s="748"/>
      <c r="G41" s="748"/>
      <c r="H41" s="748"/>
      <c r="I41" s="749"/>
      <c r="K41" s="358"/>
    </row>
    <row r="42" spans="1:11">
      <c r="A42" s="753"/>
      <c r="B42" s="753"/>
      <c r="C42" s="753"/>
      <c r="D42" s="753"/>
      <c r="E42" s="750"/>
      <c r="F42" s="751"/>
      <c r="G42" s="751"/>
      <c r="H42" s="751"/>
      <c r="I42" s="752"/>
    </row>
    <row r="43" spans="1:11" ht="8.25" customHeight="1"/>
    <row r="44" spans="1:11">
      <c r="A44" s="711" t="s">
        <v>593</v>
      </c>
      <c r="B44" s="711"/>
      <c r="C44" s="711"/>
      <c r="D44" s="711"/>
      <c r="E44" s="711"/>
      <c r="F44" s="711"/>
      <c r="G44" s="711"/>
      <c r="H44" s="711"/>
      <c r="I44" s="711"/>
    </row>
    <row r="45" spans="1:11">
      <c r="A45" s="711"/>
      <c r="B45" s="711"/>
      <c r="C45" s="711"/>
      <c r="D45" s="711"/>
      <c r="E45" s="711"/>
      <c r="F45" s="711"/>
      <c r="G45" s="711"/>
      <c r="H45" s="711"/>
      <c r="I45" s="711"/>
    </row>
    <row r="46" spans="1:11">
      <c r="A46" s="711"/>
      <c r="B46" s="711"/>
      <c r="C46" s="711"/>
      <c r="D46" s="711"/>
      <c r="E46" s="711"/>
      <c r="F46" s="711"/>
      <c r="G46" s="711"/>
      <c r="H46" s="711"/>
      <c r="I46" s="711"/>
    </row>
    <row r="47" spans="1:11">
      <c r="A47" s="559"/>
      <c r="B47" s="559"/>
      <c r="C47" s="559"/>
      <c r="D47" s="559"/>
      <c r="E47" s="559"/>
      <c r="F47" s="559"/>
      <c r="G47" s="559"/>
      <c r="H47" s="559"/>
      <c r="I47" s="559"/>
    </row>
    <row r="48" spans="1:11" ht="15.75">
      <c r="A48" s="557" t="s">
        <v>699</v>
      </c>
      <c r="B48" s="591"/>
      <c r="C48" s="591"/>
      <c r="D48" s="591"/>
      <c r="E48" s="591"/>
      <c r="F48" s="591"/>
      <c r="G48" s="591"/>
      <c r="H48" s="591"/>
      <c r="I48" s="591"/>
    </row>
    <row r="49" spans="1:9">
      <c r="A49" s="706" t="str">
        <f>A55</f>
        <v>●</v>
      </c>
      <c r="B49" s="741" t="s">
        <v>700</v>
      </c>
      <c r="C49" s="741"/>
      <c r="D49" s="741"/>
      <c r="E49" s="741"/>
      <c r="F49" s="741"/>
      <c r="G49" s="741"/>
      <c r="H49" s="741"/>
      <c r="I49" s="741"/>
    </row>
    <row r="50" spans="1:9">
      <c r="A50" s="706" t="str">
        <f>A49</f>
        <v>●</v>
      </c>
      <c r="B50" t="s">
        <v>703</v>
      </c>
    </row>
    <row r="51" spans="1:9" ht="15" customHeight="1">
      <c r="A51" s="706" t="str">
        <f>A49</f>
        <v>●</v>
      </c>
      <c r="B51" s="713" t="s">
        <v>701</v>
      </c>
      <c r="C51" s="713"/>
      <c r="D51" s="713"/>
      <c r="E51" s="713"/>
      <c r="F51" s="713"/>
      <c r="G51" s="713"/>
      <c r="H51" s="713"/>
      <c r="I51" s="713"/>
    </row>
    <row r="52" spans="1:9">
      <c r="A52" s="706" t="str">
        <f>A49</f>
        <v>●</v>
      </c>
      <c r="B52" s="705" t="s">
        <v>702</v>
      </c>
      <c r="C52" s="705"/>
      <c r="D52" s="705"/>
      <c r="E52" s="705"/>
      <c r="F52" s="705"/>
      <c r="G52" s="705"/>
      <c r="H52" s="705"/>
      <c r="I52" s="705"/>
    </row>
    <row r="53" spans="1:9">
      <c r="A53" s="591"/>
      <c r="B53" s="591"/>
      <c r="C53" s="591"/>
      <c r="D53" s="591"/>
      <c r="E53" s="591"/>
      <c r="F53" s="591"/>
      <c r="G53" s="591"/>
      <c r="H53" s="591"/>
      <c r="I53" s="591"/>
    </row>
    <row r="54" spans="1:9" ht="15.75">
      <c r="A54" s="557" t="s">
        <v>595</v>
      </c>
    </row>
    <row r="55" spans="1:9" ht="15" customHeight="1">
      <c r="A55" s="36" t="str">
        <f>A12</f>
        <v>●</v>
      </c>
      <c r="B55" s="740" t="s">
        <v>673</v>
      </c>
      <c r="C55" s="740"/>
      <c r="D55" s="740"/>
      <c r="E55" s="740"/>
      <c r="F55" s="740"/>
      <c r="G55" s="740"/>
      <c r="H55" s="740"/>
      <c r="I55" s="740"/>
    </row>
    <row r="56" spans="1:9">
      <c r="A56" s="36"/>
      <c r="B56" s="740"/>
      <c r="C56" s="740"/>
      <c r="D56" s="740"/>
      <c r="E56" s="740"/>
      <c r="F56" s="740"/>
      <c r="G56" s="740"/>
      <c r="H56" s="740"/>
      <c r="I56" s="740"/>
    </row>
    <row r="57" spans="1:9" ht="15" customHeight="1">
      <c r="A57" s="36" t="str">
        <f>A16</f>
        <v>●</v>
      </c>
      <c r="B57" s="711" t="s">
        <v>599</v>
      </c>
      <c r="C57" s="711"/>
      <c r="D57" s="711"/>
      <c r="E57" s="711"/>
      <c r="F57" s="711"/>
      <c r="G57" s="711"/>
      <c r="H57" s="711"/>
      <c r="I57" s="711"/>
    </row>
    <row r="58" spans="1:9">
      <c r="A58" s="36"/>
      <c r="B58" s="711"/>
      <c r="C58" s="711"/>
      <c r="D58" s="711"/>
      <c r="E58" s="711"/>
      <c r="F58" s="711"/>
      <c r="G58" s="711"/>
      <c r="H58" s="711"/>
      <c r="I58" s="711"/>
    </row>
    <row r="59" spans="1:9">
      <c r="A59" s="36"/>
      <c r="B59" s="711"/>
      <c r="C59" s="711"/>
      <c r="D59" s="711"/>
      <c r="E59" s="711"/>
      <c r="F59" s="711"/>
      <c r="G59" s="711"/>
      <c r="H59" s="711"/>
      <c r="I59" s="711"/>
    </row>
    <row r="60" spans="1:9">
      <c r="A60" s="36"/>
      <c r="B60" s="711"/>
      <c r="C60" s="711"/>
      <c r="D60" s="711"/>
      <c r="E60" s="711"/>
      <c r="F60" s="711"/>
      <c r="G60" s="711"/>
      <c r="H60" s="711"/>
      <c r="I60" s="711"/>
    </row>
    <row r="61" spans="1:9">
      <c r="A61" s="36" t="str">
        <f>A57</f>
        <v>●</v>
      </c>
      <c r="B61" s="740" t="s">
        <v>679</v>
      </c>
      <c r="C61" s="740"/>
      <c r="D61" s="740"/>
      <c r="E61" s="740"/>
      <c r="F61" s="740"/>
      <c r="G61" s="740"/>
      <c r="H61" s="740"/>
      <c r="I61" s="740"/>
    </row>
    <row r="62" spans="1:9">
      <c r="A62" s="36"/>
      <c r="B62" s="740"/>
      <c r="C62" s="740"/>
      <c r="D62" s="740"/>
      <c r="E62" s="740"/>
      <c r="F62" s="740"/>
      <c r="G62" s="740"/>
      <c r="H62" s="740"/>
      <c r="I62" s="740"/>
    </row>
    <row r="63" spans="1:9">
      <c r="A63" s="36"/>
      <c r="B63" s="740"/>
      <c r="C63" s="740"/>
      <c r="D63" s="740"/>
      <c r="E63" s="740"/>
      <c r="F63" s="740"/>
      <c r="G63" s="740"/>
      <c r="H63" s="740"/>
      <c r="I63" s="740"/>
    </row>
    <row r="64" spans="1:9">
      <c r="A64" s="36"/>
      <c r="B64" s="564"/>
      <c r="C64" s="564"/>
      <c r="D64" s="564"/>
      <c r="E64" s="564"/>
      <c r="F64" s="564"/>
      <c r="G64" s="564"/>
      <c r="H64" s="564"/>
      <c r="I64" s="564"/>
    </row>
    <row r="65" spans="1:9" ht="15.75">
      <c r="A65" s="557" t="s">
        <v>596</v>
      </c>
    </row>
    <row r="66" spans="1:9" ht="15" customHeight="1">
      <c r="A66" s="36" t="s">
        <v>606</v>
      </c>
      <c r="B66" s="713" t="s">
        <v>638</v>
      </c>
      <c r="C66" s="713"/>
      <c r="D66" s="713"/>
      <c r="E66" s="713"/>
      <c r="F66" s="713"/>
      <c r="G66" s="713"/>
      <c r="H66" s="713"/>
      <c r="I66" s="713"/>
    </row>
    <row r="67" spans="1:9" ht="15" customHeight="1">
      <c r="A67" s="36" t="s">
        <v>607</v>
      </c>
      <c r="B67" s="713" t="s">
        <v>640</v>
      </c>
      <c r="C67" s="713"/>
      <c r="D67" s="713"/>
      <c r="E67" s="713"/>
      <c r="F67" s="713"/>
      <c r="G67" s="713"/>
      <c r="H67" s="713"/>
      <c r="I67" s="713"/>
    </row>
    <row r="68" spans="1:9">
      <c r="B68" s="713"/>
      <c r="C68" s="713"/>
      <c r="D68" s="713"/>
      <c r="E68" s="713"/>
      <c r="F68" s="713"/>
      <c r="G68" s="713"/>
      <c r="H68" s="713"/>
      <c r="I68" s="713"/>
    </row>
    <row r="69" spans="1:9">
      <c r="B69" s="556" t="s">
        <v>608</v>
      </c>
    </row>
    <row r="70" spans="1:9">
      <c r="A70" s="36" t="s">
        <v>609</v>
      </c>
      <c r="B70" s="711" t="s">
        <v>610</v>
      </c>
      <c r="C70" s="711"/>
      <c r="D70" s="711"/>
      <c r="E70" s="711"/>
      <c r="F70" s="711"/>
      <c r="G70" s="711"/>
      <c r="H70" s="711"/>
      <c r="I70" s="711"/>
    </row>
    <row r="71" spans="1:9">
      <c r="B71" s="711"/>
      <c r="C71" s="711"/>
      <c r="D71" s="711"/>
      <c r="E71" s="711"/>
      <c r="F71" s="711"/>
      <c r="G71" s="711"/>
      <c r="H71" s="711"/>
      <c r="I71" s="711"/>
    </row>
    <row r="72" spans="1:9">
      <c r="B72" s="711" t="s">
        <v>611</v>
      </c>
      <c r="C72" s="711"/>
      <c r="D72" s="711"/>
      <c r="E72" s="711"/>
      <c r="F72" s="711"/>
      <c r="G72" s="711"/>
      <c r="H72" s="711"/>
      <c r="I72" s="711"/>
    </row>
    <row r="73" spans="1:9">
      <c r="B73" s="711"/>
      <c r="C73" s="711"/>
      <c r="D73" s="711"/>
      <c r="E73" s="711"/>
      <c r="F73" s="711"/>
      <c r="G73" s="711"/>
      <c r="H73" s="711"/>
      <c r="I73" s="711"/>
    </row>
    <row r="74" spans="1:9" ht="15" customHeight="1">
      <c r="B74" s="713" t="s">
        <v>639</v>
      </c>
      <c r="C74" s="713"/>
      <c r="D74" s="713"/>
      <c r="E74" s="713"/>
      <c r="F74" s="713"/>
      <c r="G74" s="713"/>
      <c r="H74" s="713"/>
      <c r="I74" s="713"/>
    </row>
    <row r="75" spans="1:9">
      <c r="B75" t="s">
        <v>613</v>
      </c>
    </row>
    <row r="76" spans="1:9">
      <c r="B76" t="s">
        <v>612</v>
      </c>
    </row>
    <row r="77" spans="1:9">
      <c r="B77" s="711" t="s">
        <v>707</v>
      </c>
      <c r="C77" s="711"/>
      <c r="D77" s="711"/>
      <c r="E77" s="711"/>
      <c r="F77" s="711"/>
      <c r="G77" s="711"/>
      <c r="H77" s="711"/>
      <c r="I77" s="711"/>
    </row>
    <row r="78" spans="1:9">
      <c r="B78" s="711"/>
      <c r="C78" s="711"/>
      <c r="D78" s="711"/>
      <c r="E78" s="711"/>
      <c r="F78" s="711"/>
      <c r="G78" s="711"/>
      <c r="H78" s="711"/>
      <c r="I78" s="711"/>
    </row>
    <row r="79" spans="1:9">
      <c r="B79" s="711"/>
      <c r="C79" s="711"/>
      <c r="D79" s="711"/>
      <c r="E79" s="711"/>
      <c r="F79" s="711"/>
      <c r="G79" s="711"/>
      <c r="H79" s="711"/>
      <c r="I79" s="711"/>
    </row>
    <row r="80" spans="1:9">
      <c r="B80" s="711"/>
      <c r="C80" s="711"/>
      <c r="D80" s="711"/>
      <c r="E80" s="711"/>
      <c r="F80" s="711"/>
      <c r="G80" s="711"/>
      <c r="H80" s="711"/>
      <c r="I80" s="711"/>
    </row>
    <row r="83" spans="3:8" ht="15" customHeight="1">
      <c r="C83" s="739" t="s">
        <v>637</v>
      </c>
      <c r="D83" s="739"/>
      <c r="E83" s="739"/>
      <c r="F83" s="739" t="s">
        <v>616</v>
      </c>
      <c r="G83" s="739" t="s">
        <v>615</v>
      </c>
      <c r="H83" s="561"/>
    </row>
    <row r="84" spans="3:8">
      <c r="C84" s="739"/>
      <c r="D84" s="739"/>
      <c r="E84" s="739"/>
      <c r="F84" s="739"/>
      <c r="G84" s="739"/>
      <c r="H84" s="561"/>
    </row>
    <row r="85" spans="3:8">
      <c r="C85" s="565" t="s">
        <v>618</v>
      </c>
      <c r="D85" s="565"/>
      <c r="E85" s="565"/>
      <c r="F85" s="566" t="s">
        <v>620</v>
      </c>
      <c r="G85" s="566" t="s">
        <v>619</v>
      </c>
      <c r="H85" s="560"/>
    </row>
    <row r="86" spans="3:8">
      <c r="C86" s="730" t="s">
        <v>617</v>
      </c>
      <c r="D86" s="731"/>
      <c r="E86" s="732"/>
      <c r="F86" s="714" t="s">
        <v>626</v>
      </c>
      <c r="G86" s="714" t="s">
        <v>625</v>
      </c>
      <c r="H86" s="562"/>
    </row>
    <row r="87" spans="3:8" ht="15" customHeight="1">
      <c r="C87" s="733" t="s">
        <v>624</v>
      </c>
      <c r="D87" s="734"/>
      <c r="E87" s="735"/>
      <c r="F87" s="714"/>
      <c r="G87" s="714"/>
      <c r="H87" s="562"/>
    </row>
    <row r="88" spans="3:8" ht="15" customHeight="1">
      <c r="C88" s="733" t="s">
        <v>621</v>
      </c>
      <c r="D88" s="734"/>
      <c r="E88" s="735"/>
      <c r="F88" s="714"/>
      <c r="G88" s="714"/>
      <c r="H88" s="562"/>
    </row>
    <row r="89" spans="3:8" ht="15" customHeight="1">
      <c r="C89" s="733" t="s">
        <v>622</v>
      </c>
      <c r="D89" s="734"/>
      <c r="E89" s="735"/>
      <c r="F89" s="714"/>
      <c r="G89" s="714"/>
      <c r="H89" s="562"/>
    </row>
    <row r="90" spans="3:8" ht="15" customHeight="1">
      <c r="C90" s="736" t="s">
        <v>623</v>
      </c>
      <c r="D90" s="737"/>
      <c r="E90" s="738"/>
      <c r="F90" s="714"/>
      <c r="G90" s="714"/>
      <c r="H90" s="562"/>
    </row>
    <row r="91" spans="3:8">
      <c r="C91" s="715" t="s">
        <v>627</v>
      </c>
      <c r="D91" s="715"/>
      <c r="E91" s="715"/>
      <c r="F91" s="722" t="s">
        <v>629</v>
      </c>
      <c r="G91" s="722" t="s">
        <v>628</v>
      </c>
      <c r="H91" s="562"/>
    </row>
    <row r="92" spans="3:8">
      <c r="C92" s="715"/>
      <c r="D92" s="715"/>
      <c r="E92" s="715"/>
      <c r="F92" s="722"/>
      <c r="G92" s="722"/>
      <c r="H92" s="562"/>
    </row>
    <row r="93" spans="3:8">
      <c r="C93" s="723" t="s">
        <v>630</v>
      </c>
      <c r="D93" s="723"/>
      <c r="E93" s="724"/>
      <c r="F93" s="567" t="s">
        <v>632</v>
      </c>
      <c r="G93" s="712" t="s">
        <v>631</v>
      </c>
      <c r="H93" s="563"/>
    </row>
    <row r="94" spans="3:8">
      <c r="C94" s="725" t="s">
        <v>500</v>
      </c>
      <c r="D94" s="725"/>
      <c r="E94" s="726"/>
      <c r="F94" s="567" t="s">
        <v>633</v>
      </c>
      <c r="G94" s="712"/>
      <c r="H94" s="563"/>
    </row>
    <row r="95" spans="3:8">
      <c r="C95" s="723" t="s">
        <v>635</v>
      </c>
      <c r="D95" s="723"/>
      <c r="E95" s="724"/>
      <c r="F95" s="567" t="s">
        <v>634</v>
      </c>
      <c r="G95" s="712"/>
      <c r="H95" s="563"/>
    </row>
    <row r="96" spans="3:8">
      <c r="C96" s="727" t="s">
        <v>521</v>
      </c>
      <c r="D96" s="728"/>
      <c r="E96" s="729"/>
      <c r="F96" s="567" t="s">
        <v>636</v>
      </c>
      <c r="G96" s="712"/>
      <c r="H96" s="563"/>
    </row>
    <row r="97" spans="1:9">
      <c r="C97" s="716" t="s">
        <v>708</v>
      </c>
      <c r="D97" s="717"/>
      <c r="E97" s="717"/>
      <c r="F97" s="717"/>
      <c r="G97" s="718"/>
    </row>
    <row r="98" spans="1:9">
      <c r="C98" s="716"/>
      <c r="D98" s="717"/>
      <c r="E98" s="717"/>
      <c r="F98" s="717"/>
      <c r="G98" s="718"/>
    </row>
    <row r="99" spans="1:9">
      <c r="C99" s="719"/>
      <c r="D99" s="720"/>
      <c r="E99" s="720"/>
      <c r="F99" s="720"/>
      <c r="G99" s="721"/>
    </row>
    <row r="101" spans="1:9">
      <c r="A101" s="711" t="s">
        <v>641</v>
      </c>
      <c r="B101" s="711"/>
      <c r="C101" s="711"/>
      <c r="D101" s="711"/>
      <c r="E101" s="711"/>
      <c r="F101" s="711"/>
      <c r="G101" s="711"/>
      <c r="H101" s="711"/>
      <c r="I101" s="711"/>
    </row>
    <row r="102" spans="1:9">
      <c r="A102" s="711"/>
      <c r="B102" s="711"/>
      <c r="C102" s="711"/>
      <c r="D102" s="711"/>
      <c r="E102" s="711"/>
      <c r="F102" s="711"/>
      <c r="G102" s="711"/>
      <c r="H102" s="711"/>
      <c r="I102" s="711"/>
    </row>
    <row r="103" spans="1:9">
      <c r="A103" t="s">
        <v>671</v>
      </c>
    </row>
  </sheetData>
  <sheetProtection password="B094" sheet="1" objects="1" scenarios="1"/>
  <mergeCells count="47">
    <mergeCell ref="C2:I4"/>
    <mergeCell ref="B12:I13"/>
    <mergeCell ref="A31:I32"/>
    <mergeCell ref="B14:I15"/>
    <mergeCell ref="B57:I60"/>
    <mergeCell ref="A44:I46"/>
    <mergeCell ref="B55:I56"/>
    <mergeCell ref="E39:I42"/>
    <mergeCell ref="C39:D42"/>
    <mergeCell ref="A39:B42"/>
    <mergeCell ref="A34:B35"/>
    <mergeCell ref="A36:B38"/>
    <mergeCell ref="C36:D38"/>
    <mergeCell ref="E36:I38"/>
    <mergeCell ref="C34:I35"/>
    <mergeCell ref="B16:I16"/>
    <mergeCell ref="B19:I20"/>
    <mergeCell ref="B21:I23"/>
    <mergeCell ref="C88:E88"/>
    <mergeCell ref="C89:E89"/>
    <mergeCell ref="C90:E90"/>
    <mergeCell ref="B72:I73"/>
    <mergeCell ref="B77:I80"/>
    <mergeCell ref="B74:I74"/>
    <mergeCell ref="B70:I71"/>
    <mergeCell ref="F83:F84"/>
    <mergeCell ref="G83:G84"/>
    <mergeCell ref="C83:E84"/>
    <mergeCell ref="B61:I63"/>
    <mergeCell ref="B49:I49"/>
    <mergeCell ref="B51:I51"/>
    <mergeCell ref="A101:I102"/>
    <mergeCell ref="G93:G96"/>
    <mergeCell ref="B66:I66"/>
    <mergeCell ref="B67:I68"/>
    <mergeCell ref="F86:F90"/>
    <mergeCell ref="G86:G90"/>
    <mergeCell ref="C91:E92"/>
    <mergeCell ref="C97:G99"/>
    <mergeCell ref="F91:F92"/>
    <mergeCell ref="G91:G92"/>
    <mergeCell ref="C93:E93"/>
    <mergeCell ref="C94:E94"/>
    <mergeCell ref="C95:E95"/>
    <mergeCell ref="C96:E96"/>
    <mergeCell ref="C86:E86"/>
    <mergeCell ref="C87:E87"/>
  </mergeCells>
  <pageMargins left="0.70866141732283461" right="0.31496062992125984"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51"/>
  <sheetViews>
    <sheetView tabSelected="1" topLeftCell="A10" zoomScaleNormal="100" workbookViewId="0">
      <selection activeCell="K56" sqref="K56"/>
    </sheetView>
  </sheetViews>
  <sheetFormatPr baseColWidth="10" defaultRowHeight="15"/>
  <cols>
    <col min="1" max="1" width="12" customWidth="1"/>
    <col min="2" max="2" width="10.85546875" customWidth="1"/>
    <col min="3" max="3" width="7" customWidth="1"/>
    <col min="4" max="6" width="10.7109375" customWidth="1"/>
    <col min="7" max="7" width="10" customWidth="1"/>
    <col min="8" max="9" width="10.140625" customWidth="1"/>
  </cols>
  <sheetData>
    <row r="1" spans="1:9">
      <c r="A1" s="1"/>
      <c r="B1" s="1"/>
      <c r="C1" s="1"/>
      <c r="D1" s="1"/>
      <c r="E1" s="1"/>
      <c r="F1" s="1"/>
      <c r="G1" s="1"/>
      <c r="H1" s="1"/>
      <c r="I1" s="1"/>
    </row>
    <row r="2" spans="1:9">
      <c r="A2" s="1"/>
      <c r="B2" s="955" t="s">
        <v>690</v>
      </c>
      <c r="C2" s="955"/>
      <c r="D2" s="955"/>
      <c r="E2" s="955"/>
      <c r="F2" s="955"/>
      <c r="G2" s="955"/>
      <c r="H2" s="955"/>
      <c r="I2" s="955"/>
    </row>
    <row r="3" spans="1:9">
      <c r="A3" s="1"/>
      <c r="B3" s="955"/>
      <c r="C3" s="955"/>
      <c r="D3" s="955"/>
      <c r="E3" s="955"/>
      <c r="F3" s="955"/>
      <c r="G3" s="955"/>
      <c r="H3" s="955"/>
      <c r="I3" s="955"/>
    </row>
    <row r="4" spans="1:9" ht="18.75">
      <c r="A4" s="218"/>
      <c r="B4" s="955"/>
      <c r="C4" s="955"/>
      <c r="D4" s="955"/>
      <c r="E4" s="955"/>
      <c r="F4" s="955"/>
      <c r="G4" s="955"/>
      <c r="H4" s="955"/>
      <c r="I4" s="955"/>
    </row>
    <row r="5" spans="1:9" ht="18.75">
      <c r="A5" s="218"/>
      <c r="B5" s="5"/>
      <c r="C5" s="5"/>
      <c r="D5" s="219"/>
      <c r="E5" s="219"/>
      <c r="F5" s="219"/>
      <c r="G5" s="219"/>
      <c r="H5" s="219"/>
      <c r="I5" s="219"/>
    </row>
    <row r="6" spans="1:9">
      <c r="A6" s="979" t="s">
        <v>331</v>
      </c>
      <c r="B6" s="979"/>
      <c r="C6" s="979"/>
      <c r="D6" s="979"/>
      <c r="E6" s="979"/>
      <c r="F6" s="979"/>
      <c r="G6" s="979"/>
      <c r="H6" s="979"/>
      <c r="I6" s="979"/>
    </row>
    <row r="7" spans="1:9">
      <c r="A7" s="979"/>
      <c r="B7" s="979"/>
      <c r="C7" s="979"/>
      <c r="D7" s="979"/>
      <c r="E7" s="979"/>
      <c r="F7" s="979"/>
      <c r="G7" s="979"/>
      <c r="H7" s="979"/>
      <c r="I7" s="979"/>
    </row>
    <row r="8" spans="1:9">
      <c r="A8" s="19"/>
      <c r="B8" s="19"/>
      <c r="C8" s="19"/>
      <c r="D8" s="19"/>
      <c r="E8" s="19"/>
      <c r="F8" s="19"/>
      <c r="G8" s="19"/>
      <c r="H8" s="19"/>
      <c r="I8" s="19"/>
    </row>
    <row r="9" spans="1:9">
      <c r="A9" s="19" t="str">
        <f>IF(ISBLANK('CACh prévi'!E15),"","Le projet a une durée de vie limitée à "&amp;'CACh prévi'!E15&amp;" mois.")</f>
        <v/>
      </c>
      <c r="B9" s="19"/>
      <c r="C9" s="19"/>
      <c r="D9" s="19"/>
      <c r="E9" s="19"/>
      <c r="F9" s="19"/>
      <c r="G9" s="19"/>
      <c r="H9" s="19"/>
      <c r="I9" s="19"/>
    </row>
    <row r="10" spans="1:9">
      <c r="A10" s="19" t="s">
        <v>332</v>
      </c>
      <c r="B10" s="19"/>
      <c r="C10" s="19"/>
      <c r="D10" s="19"/>
      <c r="E10" s="19"/>
      <c r="F10" s="19"/>
      <c r="G10" s="19"/>
      <c r="H10" s="19"/>
      <c r="I10" s="19"/>
    </row>
    <row r="11" spans="1:9">
      <c r="A11" s="19"/>
      <c r="B11" s="19"/>
      <c r="C11" s="19"/>
      <c r="D11" s="19"/>
      <c r="E11" s="19"/>
      <c r="F11" s="19"/>
      <c r="G11" s="19"/>
      <c r="H11" s="19"/>
      <c r="I11" s="19"/>
    </row>
    <row r="12" spans="1:9">
      <c r="A12" s="19"/>
      <c r="B12" s="895" t="s">
        <v>220</v>
      </c>
      <c r="C12" s="980"/>
      <c r="D12" s="148" t="str">
        <f>IF(ISBLANK('CACh prévi'!C23),"",'CACh prévi'!C23)</f>
        <v/>
      </c>
      <c r="E12" s="148" t="str">
        <f>IF(ISBLANK('CACh prévi'!D23),"",'CACh prévi'!D23)</f>
        <v/>
      </c>
      <c r="F12" s="148" t="str">
        <f>IF(ISBLANK('CACh prévi'!E23),"",'CACh prévi'!E23)</f>
        <v/>
      </c>
      <c r="G12" s="148" t="str">
        <f>IF(ISBLANK('CACh prévi'!F23),"",'CACh prévi'!F23)</f>
        <v/>
      </c>
      <c r="H12" s="148" t="str">
        <f>IF(ISBLANK('CACh prévi'!G23),"",'CACh prévi'!G23)</f>
        <v/>
      </c>
      <c r="I12" s="220" t="s">
        <v>324</v>
      </c>
    </row>
    <row r="13" spans="1:9">
      <c r="A13" s="19"/>
      <c r="B13" s="895" t="s">
        <v>225</v>
      </c>
      <c r="C13" s="980"/>
      <c r="D13" s="148" t="str">
        <f>IF(ISBLANK('CACh prévi'!C24),"",'CACh prévi'!C24)</f>
        <v/>
      </c>
      <c r="E13" s="148" t="str">
        <f>IF(ISBLANK('CACh prévi'!D24),"",'CACh prévi'!D24)</f>
        <v/>
      </c>
      <c r="F13" s="148" t="str">
        <f>IF(ISBLANK('CACh prévi'!E24),"",'CACh prévi'!E24)</f>
        <v/>
      </c>
      <c r="G13" s="148" t="str">
        <f>IF(ISBLANK('CACh prévi'!F24),"",'CACh prévi'!F24)</f>
        <v/>
      </c>
      <c r="H13" s="148" t="str">
        <f>IF(ISBLANK('CACh prévi'!G24),"",'CACh prévi'!G24)</f>
        <v/>
      </c>
      <c r="I13" s="221">
        <f>SUM(D13:H13)</f>
        <v>0</v>
      </c>
    </row>
    <row r="14" spans="1:9">
      <c r="A14" s="19"/>
      <c r="B14" s="19"/>
      <c r="C14" s="19"/>
      <c r="D14" s="19"/>
      <c r="E14" s="19"/>
      <c r="F14" s="19"/>
      <c r="G14" s="19"/>
      <c r="H14" s="19"/>
      <c r="I14" s="19"/>
    </row>
    <row r="15" spans="1:9">
      <c r="A15" s="19" t="s">
        <v>333</v>
      </c>
      <c r="B15" s="19"/>
      <c r="C15" s="19"/>
      <c r="D15" s="19"/>
      <c r="E15" s="19"/>
      <c r="F15" s="19"/>
      <c r="G15" s="19"/>
      <c r="H15" s="19"/>
      <c r="I15" s="19"/>
    </row>
    <row r="16" spans="1:9">
      <c r="A16" s="19"/>
      <c r="B16" s="19"/>
      <c r="C16" s="19"/>
      <c r="D16" s="19"/>
      <c r="E16" s="19"/>
      <c r="F16" s="19"/>
      <c r="G16" s="19"/>
      <c r="H16" s="19"/>
      <c r="I16" s="19"/>
    </row>
    <row r="17" spans="1:9">
      <c r="A17" s="19"/>
      <c r="B17" s="981" t="str">
        <f>B12</f>
        <v>Investissement</v>
      </c>
      <c r="C17" s="981"/>
      <c r="D17" s="152" t="str">
        <f>IF(ISBLANK(D12),"",D12)</f>
        <v/>
      </c>
      <c r="E17" s="152" t="str">
        <f t="shared" ref="E17:H17" si="0">IF(ISBLANK(E12),"",E12)</f>
        <v/>
      </c>
      <c r="F17" s="152" t="str">
        <f t="shared" si="0"/>
        <v/>
      </c>
      <c r="G17" s="152" t="str">
        <f t="shared" si="0"/>
        <v/>
      </c>
      <c r="H17" s="152" t="str">
        <f t="shared" si="0"/>
        <v/>
      </c>
      <c r="I17" s="19"/>
    </row>
    <row r="18" spans="1:9">
      <c r="A18" s="19"/>
      <c r="B18" s="982" t="s">
        <v>334</v>
      </c>
      <c r="C18" s="983"/>
      <c r="D18" s="153" t="str">
        <f>IF(ISBLANK('CACh prévi'!C32),"",'CACh prévi'!C32)</f>
        <v/>
      </c>
      <c r="E18" s="153" t="str">
        <f>IF(ISBLANK('CACh prévi'!D32),"",'CACh prévi'!D32)</f>
        <v/>
      </c>
      <c r="F18" s="153" t="str">
        <f>IF(ISBLANK('CACh prévi'!E32),"",'CACh prévi'!E32)</f>
        <v/>
      </c>
      <c r="G18" s="153" t="str">
        <f>IF(ISBLANK('CACh prévi'!F32),"",'CACh prévi'!F32)</f>
        <v/>
      </c>
      <c r="H18" s="153" t="str">
        <f>IF(ISBLANK('CACh prévi'!G32),"",'CACh prévi'!G32)</f>
        <v/>
      </c>
      <c r="I18" s="19"/>
    </row>
    <row r="19" spans="1:9">
      <c r="A19" s="19"/>
      <c r="B19" s="984" t="s">
        <v>499</v>
      </c>
      <c r="C19" s="984"/>
      <c r="D19" s="280">
        <f>'CACh prévi'!C33</f>
        <v>0</v>
      </c>
      <c r="E19" s="280">
        <f>'CACh prévi'!D33</f>
        <v>0</v>
      </c>
      <c r="F19" s="280">
        <f>'CACh prévi'!E33</f>
        <v>0</v>
      </c>
      <c r="G19" s="280">
        <f>'CACh prévi'!F33</f>
        <v>0</v>
      </c>
      <c r="H19" s="280">
        <f>'CACh prévi'!G33</f>
        <v>0</v>
      </c>
      <c r="I19" s="19"/>
    </row>
    <row r="20" spans="1:9">
      <c r="A20" s="19"/>
      <c r="B20" s="984" t="s">
        <v>335</v>
      </c>
      <c r="C20" s="984"/>
      <c r="D20" s="154">
        <f>'CACh prévi'!C34</f>
        <v>0</v>
      </c>
      <c r="E20" s="154">
        <f>'CACh prévi'!D34</f>
        <v>0</v>
      </c>
      <c r="F20" s="154">
        <f>'CACh prévi'!E34</f>
        <v>0</v>
      </c>
      <c r="G20" s="154">
        <f>'CACh prévi'!F34</f>
        <v>0</v>
      </c>
      <c r="H20" s="154">
        <f>'CACh prévi'!G34</f>
        <v>0</v>
      </c>
      <c r="I20" s="19"/>
    </row>
    <row r="21" spans="1:9">
      <c r="A21" s="19"/>
      <c r="B21" s="984" t="s">
        <v>336</v>
      </c>
      <c r="C21" s="984"/>
      <c r="D21" s="154">
        <f>'CACh prévi'!C35</f>
        <v>0</v>
      </c>
      <c r="E21" s="154">
        <f>'CACh prévi'!D35</f>
        <v>0</v>
      </c>
      <c r="F21" s="154">
        <f>'CACh prévi'!E35</f>
        <v>0</v>
      </c>
      <c r="G21" s="154">
        <f>'CACh prévi'!F35</f>
        <v>0</v>
      </c>
      <c r="H21" s="154">
        <f>'CACh prévi'!G35</f>
        <v>0</v>
      </c>
      <c r="I21" s="19"/>
    </row>
    <row r="22" spans="1:9">
      <c r="A22" s="19"/>
      <c r="B22" s="984" t="s">
        <v>232</v>
      </c>
      <c r="C22" s="984"/>
      <c r="D22" s="154">
        <f>'CACh prévi'!C36</f>
        <v>0</v>
      </c>
      <c r="E22" s="154">
        <f>'CACh prévi'!D36</f>
        <v>0</v>
      </c>
      <c r="F22" s="154">
        <f>'CACh prévi'!E36</f>
        <v>0</v>
      </c>
      <c r="G22" s="154">
        <f>'CACh prévi'!F36</f>
        <v>0</v>
      </c>
      <c r="H22" s="154">
        <f>'CACh prévi'!G36</f>
        <v>0</v>
      </c>
      <c r="I22" s="19"/>
    </row>
    <row r="23" spans="1:9">
      <c r="A23" s="19"/>
      <c r="B23" s="984" t="s">
        <v>233</v>
      </c>
      <c r="C23" s="984"/>
      <c r="D23" s="154">
        <f>'CACh prévi'!C37</f>
        <v>0</v>
      </c>
      <c r="E23" s="154">
        <f>'CACh prévi'!D37</f>
        <v>0</v>
      </c>
      <c r="F23" s="154">
        <f>'CACh prévi'!E37</f>
        <v>0</v>
      </c>
      <c r="G23" s="154">
        <f>'CACh prévi'!F37</f>
        <v>0</v>
      </c>
      <c r="H23" s="154">
        <f>'CACh prévi'!G37</f>
        <v>0</v>
      </c>
      <c r="I23" s="19"/>
    </row>
    <row r="24" spans="1:9">
      <c r="A24" s="17"/>
      <c r="B24" s="19"/>
      <c r="C24" s="19"/>
      <c r="D24" s="19"/>
      <c r="E24" s="19"/>
      <c r="F24" s="19"/>
      <c r="G24" s="19"/>
      <c r="H24" s="19"/>
      <c r="I24" s="19"/>
    </row>
    <row r="25" spans="1:9">
      <c r="A25" s="17" t="str">
        <f>IFERROR(BO!A67,"")</f>
        <v>La trésorie nécessaire retenue pour la mise en place du projet est de 0 €.</v>
      </c>
      <c r="B25" s="17"/>
      <c r="C25" s="17"/>
      <c r="D25" s="17"/>
      <c r="E25" s="17"/>
      <c r="F25" s="17"/>
      <c r="G25" s="17"/>
      <c r="H25" s="17"/>
      <c r="I25" s="17"/>
    </row>
    <row r="26" spans="1:9">
      <c r="A26" s="17" t="str">
        <f>BO!A71</f>
        <v>Vous n'avez pas d'apport personnel pour financer mon projet.</v>
      </c>
      <c r="B26" s="17"/>
      <c r="C26" s="17"/>
      <c r="D26" s="17"/>
      <c r="E26" s="17"/>
      <c r="F26" s="17"/>
      <c r="G26" s="17"/>
      <c r="H26" s="17"/>
      <c r="I26" s="17"/>
    </row>
    <row r="27" spans="1:9">
      <c r="A27" s="17" t="str">
        <f>BO!A77</f>
        <v>Vous ne bénéficiez pas de subvention pour financer votre projet.</v>
      </c>
      <c r="B27" s="3"/>
      <c r="C27" s="3"/>
      <c r="D27" s="3"/>
      <c r="E27" s="3"/>
      <c r="F27" s="3"/>
      <c r="G27" s="3"/>
      <c r="H27" s="3"/>
      <c r="I27" s="3"/>
    </row>
    <row r="28" spans="1:9">
      <c r="A28" s="978" t="str">
        <f>BO!A81</f>
        <v>Vous n'avez pas renseigné le taux d'intérêt annuel de l'emprunt. Par défaut, nous avons utilisé un taux de 1,1%.</v>
      </c>
      <c r="B28" s="978"/>
      <c r="C28" s="978"/>
      <c r="D28" s="978"/>
      <c r="E28" s="978"/>
      <c r="F28" s="978"/>
      <c r="G28" s="978"/>
      <c r="H28" s="978"/>
      <c r="I28" s="978"/>
    </row>
    <row r="29" spans="1:9">
      <c r="A29" s="68"/>
      <c r="B29" s="222"/>
      <c r="C29" s="222"/>
      <c r="D29" s="222"/>
      <c r="E29" s="222"/>
      <c r="F29" s="222"/>
      <c r="G29" s="222"/>
      <c r="H29" s="222"/>
      <c r="I29" s="222"/>
    </row>
    <row r="30" spans="1:9">
      <c r="A30" s="995" t="str">
        <f>4-(COUNTBLANK(B31)+COUNTBLANK(D31)+COUNTBLANK(F31)+COUNTBLANK(H31))&amp;IF(4-(COUNTBLANK(B31)+COUNTBLANK(D31)+COUNTBLANK(F31)+COUNTBLANK(H31))&gt;1," hypothèses s'offrent à vous pour financer votre projet :"," hypothèse s'offre à vous pour financer votre projet :")</f>
        <v>4 hypothèses s'offrent à vous pour financer votre projet :</v>
      </c>
      <c r="B30" s="995"/>
      <c r="C30" s="995"/>
      <c r="D30" s="995"/>
      <c r="E30" s="995"/>
      <c r="F30" s="995"/>
      <c r="G30" s="995"/>
      <c r="H30" s="995"/>
      <c r="I30" s="995"/>
    </row>
    <row r="31" spans="1:9">
      <c r="A31" s="223" t="s">
        <v>337</v>
      </c>
      <c r="B31" s="996" t="str">
        <f>'BO Fin'!A3</f>
        <v>Sans Crédit-Bail</v>
      </c>
      <c r="C31" s="997"/>
      <c r="D31" s="996" t="str">
        <f>IF(ISBLANK(#REF!),"",'BO Fin'!A4)</f>
        <v xml:space="preserve">Crédit-bail </v>
      </c>
      <c r="E31" s="997"/>
      <c r="F31" s="996" t="str">
        <f>IF(ISBLANK(#REF!),"",'BO Fin'!A5)</f>
        <v xml:space="preserve">Crédit-bail </v>
      </c>
      <c r="G31" s="997"/>
      <c r="H31" s="996" t="str">
        <f>'BO Fin'!A6</f>
        <v>2 Crédits-bails</v>
      </c>
      <c r="I31" s="997"/>
    </row>
    <row r="32" spans="1:9">
      <c r="A32" s="985" t="s">
        <v>338</v>
      </c>
      <c r="B32" s="987">
        <v>0</v>
      </c>
      <c r="C32" s="988"/>
      <c r="D32" s="991">
        <f>HLOOKUP(BO!A22,'P6'!D17:H23,5,FALSE)</f>
        <v>0</v>
      </c>
      <c r="E32" s="992"/>
      <c r="F32" s="991" t="str">
        <f>IFERROR(IF(BO!A22=BO!A23,"",HLOOKUP(BO!A23,'P6'!D17:H23,5,FALSE)),0)</f>
        <v/>
      </c>
      <c r="G32" s="992"/>
      <c r="H32" s="987" t="str">
        <f>IF(BO!A22=BO!A23,"",SUM(D21:H21))</f>
        <v/>
      </c>
      <c r="I32" s="988"/>
    </row>
    <row r="33" spans="1:9">
      <c r="A33" s="986"/>
      <c r="B33" s="989"/>
      <c r="C33" s="990"/>
      <c r="D33" s="993"/>
      <c r="E33" s="994"/>
      <c r="F33" s="993"/>
      <c r="G33" s="994"/>
      <c r="H33" s="989"/>
      <c r="I33" s="990"/>
    </row>
    <row r="34" spans="1:9">
      <c r="A34" s="1004" t="s">
        <v>339</v>
      </c>
      <c r="B34" s="1006">
        <f ca="1">IFERROR('BO Fin'!J3,0)</f>
        <v>0</v>
      </c>
      <c r="C34" s="992"/>
      <c r="D34" s="1006">
        <f ca="1">IFERROR('BO Fin'!J4,0)</f>
        <v>0</v>
      </c>
      <c r="E34" s="992"/>
      <c r="F34" s="1006">
        <f ca="1">IFERROR('BO Fin'!J5,0)</f>
        <v>0</v>
      </c>
      <c r="G34" s="992"/>
      <c r="H34" s="1006">
        <f ca="1">IFERROR('BO Fin'!J6,0)</f>
        <v>0</v>
      </c>
      <c r="I34" s="992"/>
    </row>
    <row r="35" spans="1:9">
      <c r="A35" s="1005"/>
      <c r="B35" s="993"/>
      <c r="C35" s="994"/>
      <c r="D35" s="993"/>
      <c r="E35" s="994"/>
      <c r="F35" s="993"/>
      <c r="G35" s="994"/>
      <c r="H35" s="993"/>
      <c r="I35" s="994"/>
    </row>
    <row r="36" spans="1:9">
      <c r="A36" s="998" t="s">
        <v>340</v>
      </c>
      <c r="B36" s="1000">
        <f ca="1">IFERROR('BO Fin'!K3,0)</f>
        <v>0</v>
      </c>
      <c r="C36" s="1001"/>
      <c r="D36" s="1000">
        <f ca="1">IFERROR('BO Fin'!K4,0)</f>
        <v>0</v>
      </c>
      <c r="E36" s="1001"/>
      <c r="F36" s="1000">
        <f ca="1">IFERROR('BO Fin'!K5,0)</f>
        <v>0</v>
      </c>
      <c r="G36" s="1001"/>
      <c r="H36" s="1000">
        <f ca="1">IFERROR('BO Fin'!K6,0)</f>
        <v>0</v>
      </c>
      <c r="I36" s="1001"/>
    </row>
    <row r="37" spans="1:9">
      <c r="A37" s="999"/>
      <c r="B37" s="1002"/>
      <c r="C37" s="1003"/>
      <c r="D37" s="1002"/>
      <c r="E37" s="1003"/>
      <c r="F37" s="1002"/>
      <c r="G37" s="1003"/>
      <c r="H37" s="1002"/>
      <c r="I37" s="1003"/>
    </row>
    <row r="38" spans="1:9" ht="24">
      <c r="A38" s="224" t="s">
        <v>341</v>
      </c>
      <c r="B38" s="1007" t="str">
        <f ca="1">IFERROR(ROUND('BO Fin'!L3,0)&amp;" mois",0)</f>
        <v>0 mois</v>
      </c>
      <c r="C38" s="1008"/>
      <c r="D38" s="1007" t="str">
        <f ca="1">IFERROR(ROUND('BO Fin'!L4,0)&amp;" mois",0)</f>
        <v>0 mois</v>
      </c>
      <c r="E38" s="1008"/>
      <c r="F38" s="1007" t="str">
        <f ca="1">IFERROR(ROUND('BO Fin'!L5,0)&amp;" mois",0)</f>
        <v>0 mois</v>
      </c>
      <c r="G38" s="1008"/>
      <c r="H38" s="1007" t="str">
        <f ca="1">IFERROR(ROUND('BO Fin'!L6,0)&amp;" mois",0)</f>
        <v>0 mois</v>
      </c>
      <c r="I38" s="1008"/>
    </row>
    <row r="39" spans="1:9">
      <c r="A39" s="1009" t="s">
        <v>342</v>
      </c>
      <c r="B39" s="1011" t="str">
        <f>IF(ISBLANK(Fin!B37),"non renseignée",IF(Fin!B37&gt;C40,"Non dépassée","Dépassée "))</f>
        <v>non renseignée</v>
      </c>
      <c r="C39" s="225">
        <f>IF(B39="non dépassée",1,-1)</f>
        <v>-1</v>
      </c>
      <c r="D39" s="992" t="str">
        <f>IF(ISBLANK(Fin!B37),"non renseignée",IF(Fin!B37&gt;'P6'!E40,"Non dépassée","Dépassée "))</f>
        <v>non renseignée</v>
      </c>
      <c r="E39" s="226">
        <f>IF(D39="non dépassée",1,-1)</f>
        <v>-1</v>
      </c>
      <c r="F39" s="1011" t="str">
        <f>IF(BO!A22=BO!A23,"",(IF(ISBLANK(Fin!B37),"non renseignée",IF(Fin!B37&gt;'P6'!G40,"Non dépassée","Dépassée "))))</f>
        <v/>
      </c>
      <c r="G39" s="225">
        <f>IF(F39="non dépassée",1,-1)</f>
        <v>-1</v>
      </c>
      <c r="H39" s="1011" t="str">
        <f>IF(BO!A22=BO!A23,"",(IF(ISBLANK(Fin!B37),"non renseignée",IF(Fin!B37&gt;'P6'!I40,"Non dépassée","Dépassée "))))</f>
        <v/>
      </c>
      <c r="I39" s="225">
        <f>IF(H39="non dépassée",1,-1)</f>
        <v>-1</v>
      </c>
    </row>
    <row r="40" spans="1:9">
      <c r="A40" s="1010"/>
      <c r="B40" s="1012"/>
      <c r="C40" s="350">
        <f ca="1">B36</f>
        <v>0</v>
      </c>
      <c r="D40" s="994"/>
      <c r="E40" s="351">
        <f ca="1">D36</f>
        <v>0</v>
      </c>
      <c r="F40" s="1012"/>
      <c r="G40" s="350">
        <f ca="1">F36</f>
        <v>0</v>
      </c>
      <c r="H40" s="1012"/>
      <c r="I40" s="350">
        <f ca="1">H36</f>
        <v>0</v>
      </c>
    </row>
    <row r="41" spans="1:9">
      <c r="A41" s="1015" t="s">
        <v>103</v>
      </c>
      <c r="B41" s="1011" t="str">
        <f ca="1">IFERROR(IF('BO Fin'!M3&gt;25%,"Oui : "&amp;ROUND('BO Fin'!M3,3)*100&amp;"%&gt;25%","Non : "&amp;ROUND('BO Fin'!M3,3)*100&amp;"%&gt;25%"),0)</f>
        <v>Non : 0%&gt;25%</v>
      </c>
      <c r="C41" s="227">
        <f ca="1">IFERROR(IF('BO Fin'!M3&gt;25%,1,-1),0)</f>
        <v>-1</v>
      </c>
      <c r="D41" s="992" t="str">
        <f ca="1">IFERROR(IF('BO Fin'!M4&gt;25%,"Oui : "&amp;ROUND('BO Fin'!M4,3)*100&amp;"%&gt;25%","Non : "&amp;ROUND('BO Fin'!M4,3)*100&amp;"%&gt;25%"),0)</f>
        <v>Non : 0%&gt;25%</v>
      </c>
      <c r="E41" s="228">
        <f ca="1">IFERROR(IF('BO Fin'!M4&gt;25%,1,-1),0)</f>
        <v>-1</v>
      </c>
      <c r="F41" s="1011" t="str">
        <f>IF(BO!A22=BO!A23,"",(IF('BO Fin'!M5&gt;25%,"Oui : "&amp;ROUND('BO Fin'!M5,3)*100&amp;"%&gt;25%","Non : "&amp;ROUND('BO Fin'!M5,3)*100&amp;"%&gt;25%")))</f>
        <v/>
      </c>
      <c r="G41" s="227" t="str">
        <f>IF(BO!A22=BO!A23,"",(IF('BO Fin'!M5&gt;25%,1,-1)))</f>
        <v/>
      </c>
      <c r="H41" s="1011" t="str">
        <f>IF(BO!A22=BO!A23,"",(IF('BO Fin'!M6&gt;25%,"Oui : "&amp;ROUND('BO Fin'!M6,3)*100&amp;"%&gt;25%","Non : "&amp;ROUND('BO Fin'!M6,3)*100&amp;"%&gt;25%")))</f>
        <v/>
      </c>
      <c r="I41" s="227" t="str">
        <f>IF(BO!A22=BO!A23,"",(IF('BO Fin'!M6&gt;25%,1,-1)))</f>
        <v/>
      </c>
    </row>
    <row r="42" spans="1:9">
      <c r="A42" s="1016"/>
      <c r="B42" s="1012"/>
      <c r="C42" s="229">
        <f ca="1">IFERROR('BO Fin'!M3,0)</f>
        <v>0</v>
      </c>
      <c r="D42" s="994"/>
      <c r="E42" s="230">
        <f ca="1">IFERROR('BO Fin'!M4,0)</f>
        <v>0</v>
      </c>
      <c r="F42" s="1012"/>
      <c r="G42" s="229">
        <f ca="1">IFERROR('BO Fin'!M5,0)</f>
        <v>0</v>
      </c>
      <c r="H42" s="1012"/>
      <c r="I42" s="229">
        <f ca="1">IFERROR('BO Fin'!M6,0)</f>
        <v>0</v>
      </c>
    </row>
    <row r="43" spans="1:9">
      <c r="A43" s="1013" t="s">
        <v>343</v>
      </c>
      <c r="B43" s="1011" t="str">
        <f ca="1">IFERROR(IF('BO Fin'!N3&lt;4,"Oui : "&amp;ROUND('BO Fin'!N3,2)&amp;" &lt; 4 ans","Non : "&amp;ROUND('BO Fin'!N3,2)&amp;" &gt; 4 ans"),0)</f>
        <v>Oui : 0 &lt; 4 ans</v>
      </c>
      <c r="C43" s="231">
        <f ca="1">IFERROR(IF('BO Fin'!N3&lt;4,1,-1),0)</f>
        <v>1</v>
      </c>
      <c r="D43" s="1011" t="str">
        <f ca="1">IFERROR(IF('BO Fin'!N4&lt;4,"Oui : "&amp;ROUND('BO Fin'!N4,2)&amp;" &lt; 4 ans","Non : "&amp;ROUND('BO Fin'!N4,2)&amp;" &gt; 4 ans"),0)</f>
        <v>Oui : 0 &lt; 4 ans</v>
      </c>
      <c r="E43" s="231">
        <f ca="1">IFERROR(IF('BO Fin'!N4&lt;4,1,-1),0)</f>
        <v>1</v>
      </c>
      <c r="F43" s="1011" t="str">
        <f>IF(BO!A22=BO!A23,"",(IF('BO Fin'!N5&lt;4,"Oui : "&amp;ROUND('BO Fin'!N5,2)&amp;" &lt; 4 ans","Non : "&amp;ROUND('BO Fin'!N5,2)&amp;" &gt; 4 ans")))</f>
        <v/>
      </c>
      <c r="G43" s="231" t="str">
        <f>IF(BO!A22=BO!A23,"",(IF('BO Fin'!N5&lt;4,1,-1)))</f>
        <v/>
      </c>
      <c r="H43" s="1011" t="str">
        <f>IF(BO!A22=BO!A23,"",(IF('BO Fin'!N6&lt;4,"Oui : "&amp;ROUND('BO Fin'!N6,2)&amp;" &lt; 4 ans","Non : "&amp;ROUND('BO Fin'!N6,2)&amp;" &gt; 4 ans")))</f>
        <v/>
      </c>
      <c r="I43" s="399" t="str">
        <f>IF(BO!A22=BO!A23,"",(IF('BO Fin'!N6&lt;4,1,-1)))</f>
        <v/>
      </c>
    </row>
    <row r="44" spans="1:9">
      <c r="A44" s="1014"/>
      <c r="B44" s="1012"/>
      <c r="C44" s="352">
        <f ca="1">IFERROR('BO Fin'!N3,0)</f>
        <v>0</v>
      </c>
      <c r="D44" s="1012"/>
      <c r="E44" s="352">
        <f ca="1">IFERROR('BO Fin'!N4,0)</f>
        <v>0</v>
      </c>
      <c r="F44" s="1012"/>
      <c r="G44" s="352">
        <f ca="1">IFERROR('BO Fin'!N5,0)</f>
        <v>0</v>
      </c>
      <c r="H44" s="1012"/>
      <c r="I44" s="352">
        <f ca="1">IFERROR('BO Fin'!N6,0)</f>
        <v>0</v>
      </c>
    </row>
    <row r="45" spans="1:9">
      <c r="A45" s="201" t="str">
        <f>"* La durée maximale retenue est de "&amp;BO!C16&amp;" mois : "&amp;IF(BO!C16=BO!D17,BO!A17,IF(BO!C16=BO!D18,BO!A18,BO!A19))</f>
        <v>* La durée maximale retenue est de 84 mois : Durée maximale d'emprunt autorisé par le marché</v>
      </c>
      <c r="B45" s="19"/>
      <c r="C45" s="18"/>
      <c r="D45" s="19"/>
      <c r="E45" s="19"/>
      <c r="F45" s="19"/>
      <c r="G45" s="19"/>
      <c r="H45" s="19"/>
      <c r="I45" s="19"/>
    </row>
    <row r="46" spans="1:9">
      <c r="A46" s="201" t="str">
        <f>"** Par rapport à la mensualité maximale souhaitée : "&amp;Fin!B37&amp;" euros"</f>
        <v>** Par rapport à la mensualité maximale souhaitée :  euros</v>
      </c>
      <c r="B46" s="42"/>
      <c r="C46" s="42"/>
      <c r="D46" s="42"/>
      <c r="E46" s="42"/>
      <c r="F46" s="42"/>
      <c r="G46" s="42"/>
      <c r="H46" s="42"/>
      <c r="I46" s="42"/>
    </row>
    <row r="47" spans="1:9">
      <c r="A47" s="201"/>
      <c r="B47" s="42"/>
      <c r="C47" s="42"/>
      <c r="D47" s="42"/>
      <c r="E47" s="42"/>
      <c r="F47" s="42"/>
      <c r="G47" s="42"/>
      <c r="H47" s="42"/>
      <c r="I47" s="42"/>
    </row>
    <row r="48" spans="1:9">
      <c r="A48" s="201"/>
      <c r="B48" s="1017">
        <f ca="1">C39+C41+C43</f>
        <v>-1</v>
      </c>
      <c r="C48" s="1018"/>
      <c r="D48" s="1017">
        <f ca="1">E39+E41+E43</f>
        <v>-1</v>
      </c>
      <c r="E48" s="1018"/>
      <c r="F48" s="1017">
        <f>IFERROR(G39+G41+G43,1)</f>
        <v>1</v>
      </c>
      <c r="G48" s="1018"/>
      <c r="H48" s="1017">
        <f>IFERROR(I39+I41+I43,0)</f>
        <v>0</v>
      </c>
      <c r="I48" s="1018"/>
    </row>
    <row r="49" spans="1:9">
      <c r="A49" s="201"/>
      <c r="B49" s="801" t="str">
        <f ca="1">IF(B48=3,"Hypothèse retenue","Hypothèse non retenue")</f>
        <v>Hypothèse non retenue</v>
      </c>
      <c r="C49" s="802"/>
      <c r="D49" s="801" t="str">
        <f t="shared" ref="D49" ca="1" si="1">IF(D48=3,"Hypothèse retenue","Hypothèse non retenue")</f>
        <v>Hypothèse non retenue</v>
      </c>
      <c r="E49" s="802"/>
      <c r="F49" s="801" t="str">
        <f t="shared" ref="F49" si="2">IF(F48=3,"Hypothèse retenue","Hypothèse non retenue")</f>
        <v>Hypothèse non retenue</v>
      </c>
      <c r="G49" s="802"/>
      <c r="H49" s="801" t="str">
        <f t="shared" ref="H49" si="3">IF(H48=3,"Hypothèse retenue","Hypothèse non retenue")</f>
        <v>Hypothèse non retenue</v>
      </c>
      <c r="I49" s="802"/>
    </row>
    <row r="50" spans="1:9">
      <c r="A50" s="201"/>
      <c r="B50" s="27"/>
      <c r="C50" s="27"/>
      <c r="D50" s="27"/>
      <c r="E50" s="27"/>
      <c r="F50" s="27"/>
      <c r="G50" s="27"/>
      <c r="H50" s="27"/>
      <c r="I50" s="27"/>
    </row>
    <row r="51" spans="1:9">
      <c r="A51" s="201"/>
      <c r="B51" s="232"/>
      <c r="C51" s="19"/>
      <c r="D51" s="19"/>
      <c r="E51" s="19"/>
      <c r="F51" s="19"/>
      <c r="G51" s="19"/>
      <c r="H51" s="19"/>
      <c r="I51" s="19">
        <v>6</v>
      </c>
    </row>
  </sheetData>
  <sheetProtection password="CF95" sheet="1" objects="1" scenarios="1"/>
  <mergeCells count="59">
    <mergeCell ref="B48:C48"/>
    <mergeCell ref="D48:E48"/>
    <mergeCell ref="F48:G48"/>
    <mergeCell ref="H48:I48"/>
    <mergeCell ref="B49:C49"/>
    <mergeCell ref="D49:E49"/>
    <mergeCell ref="F49:G49"/>
    <mergeCell ref="H49:I49"/>
    <mergeCell ref="A41:A42"/>
    <mergeCell ref="B41:B42"/>
    <mergeCell ref="D41:D42"/>
    <mergeCell ref="F41:F42"/>
    <mergeCell ref="H41:H42"/>
    <mergeCell ref="A43:A44"/>
    <mergeCell ref="B43:B44"/>
    <mergeCell ref="D43:D44"/>
    <mergeCell ref="F43:F44"/>
    <mergeCell ref="H43:H44"/>
    <mergeCell ref="B38:C38"/>
    <mergeCell ref="D38:E38"/>
    <mergeCell ref="F38:G38"/>
    <mergeCell ref="H38:I38"/>
    <mergeCell ref="A39:A40"/>
    <mergeCell ref="B39:B40"/>
    <mergeCell ref="D39:D40"/>
    <mergeCell ref="F39:F40"/>
    <mergeCell ref="H39:H40"/>
    <mergeCell ref="A34:A35"/>
    <mergeCell ref="B34:C35"/>
    <mergeCell ref="D34:E35"/>
    <mergeCell ref="F34:G35"/>
    <mergeCell ref="H34:I35"/>
    <mergeCell ref="A36:A37"/>
    <mergeCell ref="B36:C37"/>
    <mergeCell ref="D36:E37"/>
    <mergeCell ref="F36:G37"/>
    <mergeCell ref="H36:I37"/>
    <mergeCell ref="A30:I30"/>
    <mergeCell ref="B31:C31"/>
    <mergeCell ref="D31:E31"/>
    <mergeCell ref="F31:G31"/>
    <mergeCell ref="H31:I31"/>
    <mergeCell ref="A32:A33"/>
    <mergeCell ref="B32:C33"/>
    <mergeCell ref="D32:E33"/>
    <mergeCell ref="F32:G33"/>
    <mergeCell ref="H32:I33"/>
    <mergeCell ref="A28:I28"/>
    <mergeCell ref="B2:I4"/>
    <mergeCell ref="A6:I7"/>
    <mergeCell ref="B12:C12"/>
    <mergeCell ref="B13:C13"/>
    <mergeCell ref="B17:C17"/>
    <mergeCell ref="B18:C18"/>
    <mergeCell ref="B19:C19"/>
    <mergeCell ref="B20:C20"/>
    <mergeCell ref="B21:C21"/>
    <mergeCell ref="B22:C22"/>
    <mergeCell ref="B23:C23"/>
  </mergeCells>
  <conditionalFormatting sqref="I39 G39 E39 C39">
    <cfRule type="iconSet" priority="7">
      <iconSet iconSet="3Symbols" showValue="0">
        <cfvo type="percent" val="0"/>
        <cfvo type="num" val="0"/>
        <cfvo type="num" val="1"/>
      </iconSet>
    </cfRule>
  </conditionalFormatting>
  <conditionalFormatting sqref="I41 G41 E41 C41">
    <cfRule type="iconSet" priority="6">
      <iconSet iconSet="3Symbols" showValue="0">
        <cfvo type="percent" val="0"/>
        <cfvo type="num" val="0"/>
        <cfvo type="num" val="1"/>
      </iconSet>
    </cfRule>
  </conditionalFormatting>
  <conditionalFormatting sqref="C43 E43 G43 I43">
    <cfRule type="iconSet" priority="5">
      <iconSet iconSet="3Symbols" showValue="0">
        <cfvo type="percent" val="0"/>
        <cfvo type="num" val="0"/>
        <cfvo type="num" val="1"/>
      </iconSet>
    </cfRule>
  </conditionalFormatting>
  <conditionalFormatting sqref="B48:I48">
    <cfRule type="iconSet" priority="4">
      <iconSet iconSet="3Symbols" showValue="0">
        <cfvo type="percent" val="0"/>
        <cfvo type="num" val="2" gte="0"/>
        <cfvo type="num" val="3"/>
      </iconSet>
    </cfRule>
  </conditionalFormatting>
  <conditionalFormatting sqref="E42 C42 G42 I42">
    <cfRule type="dataBar" priority="3">
      <dataBar showValue="0">
        <cfvo type="num" val="0"/>
        <cfvo type="num" val="1"/>
        <color rgb="FF63C384"/>
      </dataBar>
      <extLst>
        <ext xmlns:x14="http://schemas.microsoft.com/office/spreadsheetml/2009/9/main" uri="{B025F937-C7B1-47D3-B67F-A62EFF666E3E}">
          <x14:id>{34CC8817-0050-48C4-836A-8AEC9A43267B}</x14:id>
        </ext>
      </extLst>
    </cfRule>
  </conditionalFormatting>
  <conditionalFormatting sqref="E44 C44 G44 I44">
    <cfRule type="dataBar" priority="2">
      <dataBar showValue="0">
        <cfvo type="num" val="0"/>
        <cfvo type="num" val="4"/>
        <color rgb="FFFF555A"/>
      </dataBar>
      <extLst>
        <ext xmlns:x14="http://schemas.microsoft.com/office/spreadsheetml/2009/9/main" uri="{B025F937-C7B1-47D3-B67F-A62EFF666E3E}">
          <x14:id>{C5B55100-8C8B-44F6-9BD2-EF11C790D5FC}</x14:id>
        </ext>
      </extLst>
    </cfRule>
  </conditionalFormatting>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4CC8817-0050-48C4-836A-8AEC9A43267B}">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E42 C42 G42 I42</xm:sqref>
        </x14:conditionalFormatting>
        <x14:conditionalFormatting xmlns:xm="http://schemas.microsoft.com/office/excel/2006/main">
          <x14:cfRule type="dataBar" id="{C5B55100-8C8B-44F6-9BD2-EF11C790D5FC}">
            <x14:dataBar minLength="0" maxLength="100" border="1" negativeBarBorderColorSameAsPositive="0">
              <x14:cfvo type="num">
                <xm:f>0</xm:f>
              </x14:cfvo>
              <x14:cfvo type="num">
                <xm:f>4</xm:f>
              </x14:cfvo>
              <x14:borderColor rgb="FFFF555A"/>
              <x14:negativeFillColor rgb="FFFF0000"/>
              <x14:negativeBorderColor rgb="FFFF0000"/>
              <x14:axisColor rgb="FF000000"/>
            </x14:dataBar>
          </x14:cfRule>
          <xm:sqref>E44 C44 G44 I44</xm:sqref>
        </x14:conditionalFormatting>
        <x14:conditionalFormatting xmlns:xm="http://schemas.microsoft.com/office/excel/2006/main">
          <x14:cfRule type="dataBar" priority="8" id="{568888EB-BC84-41B7-8C66-BE3EC61681FF}">
            <x14:dataBar minLength="0" maxLength="100" showValue="0" border="1" negativeBarBorderColorSameAsPositive="0">
              <x14:cfvo type="num">
                <xm:f>0</xm:f>
              </x14:cfvo>
              <x14:cfvo type="num">
                <xm:f>Fin!$B$37</xm:f>
              </x14:cfvo>
              <x14:fillColor rgb="FFFF555A"/>
              <x14:borderColor rgb="FFFF555A"/>
              <x14:negativeFillColor rgb="FFFF0000"/>
              <x14:negativeBorderColor rgb="FFFF0000"/>
              <x14:axisColor rgb="FF000000"/>
            </x14:dataBar>
          </x14:cfRule>
          <xm:sqref>G40 I40 E40 C40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52"/>
  <sheetViews>
    <sheetView tabSelected="1" workbookViewId="0">
      <selection activeCell="K56" sqref="K56"/>
    </sheetView>
  </sheetViews>
  <sheetFormatPr baseColWidth="10" defaultRowHeight="15"/>
  <cols>
    <col min="2" max="2" width="9.5703125" customWidth="1"/>
    <col min="3" max="3" width="9.85546875" customWidth="1"/>
    <col min="4" max="4" width="9.42578125" customWidth="1"/>
    <col min="5" max="5" width="9.5703125" customWidth="1"/>
    <col min="6" max="6" width="9.85546875" customWidth="1"/>
    <col min="7" max="7" width="11.140625" customWidth="1"/>
    <col min="8" max="8" width="10.140625" customWidth="1"/>
    <col min="9" max="9" width="11.28515625" customWidth="1"/>
  </cols>
  <sheetData>
    <row r="1" spans="1:9">
      <c r="A1" s="353"/>
      <c r="B1" s="353"/>
      <c r="C1" s="353"/>
      <c r="D1" s="353"/>
      <c r="E1" s="353"/>
      <c r="F1" s="353"/>
      <c r="G1" s="353"/>
      <c r="H1" s="353"/>
      <c r="I1" s="353"/>
    </row>
    <row r="2" spans="1:9">
      <c r="A2" s="353"/>
      <c r="B2" s="955" t="s">
        <v>500</v>
      </c>
      <c r="C2" s="955"/>
      <c r="D2" s="955"/>
      <c r="E2" s="955"/>
      <c r="F2" s="955"/>
      <c r="G2" s="955"/>
      <c r="H2" s="955"/>
      <c r="I2" s="955"/>
    </row>
    <row r="3" spans="1:9">
      <c r="A3" s="353"/>
      <c r="B3" s="955"/>
      <c r="C3" s="955"/>
      <c r="D3" s="955"/>
      <c r="E3" s="955"/>
      <c r="F3" s="955"/>
      <c r="G3" s="955"/>
      <c r="H3" s="955"/>
      <c r="I3" s="955"/>
    </row>
    <row r="4" spans="1:9">
      <c r="A4" s="19"/>
      <c r="B4" s="955"/>
      <c r="C4" s="955"/>
      <c r="D4" s="955"/>
      <c r="E4" s="955"/>
      <c r="F4" s="955"/>
      <c r="G4" s="955"/>
      <c r="H4" s="955"/>
      <c r="I4" s="955"/>
    </row>
    <row r="5" spans="1:9">
      <c r="A5" s="19"/>
      <c r="B5" s="19"/>
      <c r="C5" s="19"/>
      <c r="D5" s="19"/>
      <c r="E5" s="19"/>
      <c r="F5" s="19"/>
      <c r="G5" s="19"/>
      <c r="H5" s="19"/>
      <c r="I5" s="19"/>
    </row>
    <row r="6" spans="1:9">
      <c r="A6" s="892" t="s">
        <v>501</v>
      </c>
      <c r="B6" s="892"/>
      <c r="C6" s="892"/>
      <c r="D6" s="892"/>
      <c r="E6" s="892"/>
      <c r="F6" s="892"/>
      <c r="G6" s="892"/>
      <c r="H6" s="892"/>
      <c r="I6" s="892"/>
    </row>
    <row r="7" spans="1:9">
      <c r="A7" s="892"/>
      <c r="B7" s="892"/>
      <c r="C7" s="892"/>
      <c r="D7" s="892"/>
      <c r="E7" s="892"/>
      <c r="F7" s="892"/>
      <c r="G7" s="892"/>
      <c r="H7" s="892"/>
      <c r="I7" s="892"/>
    </row>
    <row r="8" spans="1:9">
      <c r="A8" s="19"/>
      <c r="B8" s="19"/>
      <c r="C8" s="19"/>
      <c r="D8" s="19"/>
      <c r="E8" s="19"/>
      <c r="F8" s="19"/>
      <c r="G8" s="19"/>
      <c r="H8" s="19"/>
      <c r="I8" s="19"/>
    </row>
    <row r="9" spans="1:9">
      <c r="A9" s="19" t="str">
        <f>"La durée d'étude du projet est de "&amp;BO!C16&amp;" mois. Elle correspond à la "&amp;IF(BO!C16=BO!D17,BO!A17,IF(BO!C16=BO!D18,BO!A18,BO!A19))&amp;"."</f>
        <v>La durée d'étude du projet est de 84 mois. Elle correspond à la Durée maximale d'emprunt autorisé par le marché.</v>
      </c>
      <c r="B9" s="354"/>
      <c r="C9" s="19"/>
      <c r="D9" s="19"/>
      <c r="E9" s="19"/>
      <c r="F9" s="19"/>
      <c r="G9" s="19"/>
      <c r="H9" s="19"/>
      <c r="I9" s="19"/>
    </row>
    <row r="10" spans="1:9">
      <c r="A10" s="19"/>
      <c r="B10" s="354"/>
      <c r="C10" s="19"/>
      <c r="D10" s="19"/>
      <c r="E10" s="19"/>
      <c r="F10" s="19"/>
      <c r="G10" s="19"/>
      <c r="H10" s="19"/>
      <c r="I10" s="19"/>
    </row>
    <row r="11" spans="1:9">
      <c r="A11" s="19"/>
      <c r="B11" s="15" t="s">
        <v>502</v>
      </c>
      <c r="C11" s="172"/>
      <c r="D11" s="172"/>
      <c r="E11" s="172"/>
      <c r="F11" s="172"/>
      <c r="G11" s="172"/>
      <c r="H11" s="172"/>
      <c r="I11" s="172"/>
    </row>
    <row r="12" spans="1:9">
      <c r="A12" s="19"/>
      <c r="B12" s="354"/>
      <c r="C12" s="19"/>
      <c r="D12" s="19"/>
      <c r="E12" s="19"/>
      <c r="F12" s="19"/>
      <c r="G12" s="19"/>
      <c r="H12" s="19"/>
      <c r="I12" s="19"/>
    </row>
    <row r="13" spans="1:9">
      <c r="A13" s="46">
        <f>'BO Fin'!K36-'BO Fin'!K37</f>
        <v>0</v>
      </c>
      <c r="B13" s="892" t="str">
        <f>IF('BO Fin'!K36=0,"Cela signifie que l'exploitation ne génère pas une trésorerie suffisante pour financer l'accroissement du BFRE dû à la mise en place du projet.","Le projet génère un ETE durant "&amp;'BO Fin'!K36&amp;" année"&amp;IF('BO Fin'!K36&gt;1,"s. Cela signifie que sur ces années l'exploitation produit une trésorerie suffisante pour financer l'accroissement du BFRE dû à la mise en place du projet.",". Cela signifie que sur cette année, l'exploitation génère une trésorerie suffisante pour financer l'accroissement du BFRE dû à la mise en place du projet."))</f>
        <v>Cela signifie que l'exploitation ne génère pas une trésorerie suffisante pour financer l'accroissement du BFRE dû à la mise en place du projet.</v>
      </c>
      <c r="C13" s="892"/>
      <c r="D13" s="892"/>
      <c r="E13" s="892"/>
      <c r="F13" s="892"/>
      <c r="G13" s="892"/>
      <c r="H13" s="892"/>
      <c r="I13" s="892"/>
    </row>
    <row r="14" spans="1:9">
      <c r="A14" s="42"/>
      <c r="B14" s="892"/>
      <c r="C14" s="892"/>
      <c r="D14" s="892"/>
      <c r="E14" s="892"/>
      <c r="F14" s="892"/>
      <c r="G14" s="892"/>
      <c r="H14" s="892"/>
      <c r="I14" s="892"/>
    </row>
    <row r="15" spans="1:9">
      <c r="B15" s="881" t="str">
        <f>BO!A90</f>
        <v>Il n'y pas d'effet de ciseaux sur l'ensemble de la période : cas où le BFRE augmente plus vite que l'EBE ce qui conduit à une diminution de la trésorerie.</v>
      </c>
      <c r="C15" s="881"/>
      <c r="D15" s="881"/>
      <c r="E15" s="881"/>
      <c r="F15" s="881"/>
      <c r="G15" s="881"/>
      <c r="H15" s="881"/>
      <c r="I15" s="881"/>
    </row>
    <row r="16" spans="1:9">
      <c r="A16" s="348"/>
      <c r="B16" s="881"/>
      <c r="C16" s="881"/>
      <c r="D16" s="881"/>
      <c r="E16" s="881"/>
      <c r="F16" s="881"/>
      <c r="G16" s="881"/>
      <c r="H16" s="881"/>
      <c r="I16" s="881"/>
    </row>
    <row r="17" spans="1:9">
      <c r="A17" s="348"/>
      <c r="B17" s="136"/>
      <c r="C17" s="136"/>
      <c r="D17" s="136"/>
      <c r="E17" s="136"/>
      <c r="F17" s="136"/>
      <c r="G17" s="136"/>
      <c r="H17" s="136"/>
      <c r="I17" s="136"/>
    </row>
    <row r="18" spans="1:9">
      <c r="A18" s="348"/>
      <c r="B18" s="136"/>
      <c r="C18" s="136"/>
      <c r="D18" s="136"/>
      <c r="E18" s="136"/>
      <c r="F18" s="136"/>
      <c r="G18" s="136"/>
      <c r="H18" s="136"/>
      <c r="I18" s="136"/>
    </row>
    <row r="19" spans="1:9">
      <c r="A19" s="348"/>
      <c r="B19" s="136"/>
      <c r="C19" s="136"/>
      <c r="D19" s="136"/>
      <c r="E19" s="136"/>
      <c r="F19" s="136"/>
      <c r="G19" s="136"/>
      <c r="H19" s="136"/>
      <c r="I19" s="136"/>
    </row>
    <row r="20" spans="1:9">
      <c r="A20" s="348"/>
      <c r="B20" s="136"/>
      <c r="C20" s="136"/>
      <c r="D20" s="136"/>
      <c r="E20" s="136"/>
      <c r="F20" s="136"/>
      <c r="G20" s="136"/>
      <c r="H20" s="136"/>
      <c r="I20" s="136"/>
    </row>
    <row r="21" spans="1:9">
      <c r="A21" s="19"/>
      <c r="B21" s="19"/>
      <c r="C21" s="19"/>
      <c r="D21" s="19"/>
      <c r="E21" s="19"/>
      <c r="F21" s="19"/>
      <c r="G21" s="19"/>
      <c r="H21" s="19"/>
      <c r="I21" s="19"/>
    </row>
    <row r="22" spans="1:9">
      <c r="A22" s="19"/>
      <c r="B22" s="19"/>
      <c r="C22" s="19"/>
      <c r="D22" s="19"/>
      <c r="E22" s="19"/>
      <c r="F22" s="19"/>
      <c r="G22" s="19"/>
      <c r="H22" s="19"/>
      <c r="I22" s="19"/>
    </row>
    <row r="23" spans="1:9">
      <c r="A23" s="19"/>
      <c r="B23" s="19"/>
      <c r="C23" s="19"/>
      <c r="D23" s="19"/>
      <c r="E23" s="19"/>
      <c r="F23" s="19"/>
      <c r="G23" s="19"/>
      <c r="H23" s="19"/>
      <c r="I23" s="19"/>
    </row>
    <row r="24" spans="1:9">
      <c r="A24" s="19"/>
      <c r="B24" s="19"/>
      <c r="C24" s="19"/>
      <c r="D24" s="19"/>
      <c r="E24" s="19"/>
      <c r="F24" s="19"/>
      <c r="G24" s="19"/>
      <c r="H24" s="19"/>
      <c r="I24" s="19"/>
    </row>
    <row r="25" spans="1:9">
      <c r="A25" s="19"/>
      <c r="B25" s="19"/>
      <c r="C25" s="19"/>
      <c r="D25" s="19"/>
      <c r="E25" s="19"/>
      <c r="F25" s="19"/>
      <c r="G25" s="19"/>
      <c r="H25" s="19"/>
      <c r="I25" s="19"/>
    </row>
    <row r="26" spans="1:9">
      <c r="A26" s="19"/>
      <c r="B26" s="19"/>
      <c r="C26" s="19"/>
      <c r="D26" s="19"/>
      <c r="E26" s="19"/>
      <c r="F26" s="19"/>
      <c r="G26" s="19"/>
      <c r="H26" s="19"/>
      <c r="I26" s="19"/>
    </row>
    <row r="27" spans="1:9">
      <c r="A27" s="19"/>
      <c r="B27" s="19"/>
      <c r="C27" s="19"/>
      <c r="D27" s="19"/>
      <c r="E27" s="19"/>
      <c r="F27" s="19"/>
      <c r="G27" s="19"/>
      <c r="H27" s="19"/>
      <c r="I27" s="19"/>
    </row>
    <row r="28" spans="1:9">
      <c r="A28" s="19"/>
      <c r="B28" s="254"/>
      <c r="C28" s="254"/>
      <c r="D28" s="254"/>
      <c r="E28" s="254"/>
      <c r="F28" s="254"/>
      <c r="G28" s="254"/>
      <c r="H28" s="254"/>
      <c r="I28" s="19"/>
    </row>
    <row r="29" spans="1:9">
      <c r="A29" s="19"/>
      <c r="B29" s="15" t="s">
        <v>503</v>
      </c>
      <c r="C29" s="15"/>
      <c r="D29" s="15"/>
      <c r="E29" s="15"/>
      <c r="F29" s="15"/>
      <c r="G29" s="15"/>
      <c r="H29" s="15"/>
      <c r="I29" s="15"/>
    </row>
    <row r="30" spans="1:9">
      <c r="A30" s="19"/>
      <c r="B30" s="19"/>
      <c r="C30" s="354"/>
      <c r="D30" s="19"/>
      <c r="E30" s="19"/>
      <c r="F30" s="19"/>
      <c r="G30" s="19"/>
      <c r="H30" s="19"/>
      <c r="I30" s="19"/>
    </row>
    <row r="31" spans="1:9">
      <c r="A31" s="355">
        <f ca="1">'BO Fin'!B52</f>
        <v>0</v>
      </c>
      <c r="B31" s="332" t="str">
        <f ca="1">"VAN = "&amp;IFERROR(ROUND('BO Fin'!B52,0),"")</f>
        <v>VAN = 0</v>
      </c>
      <c r="C31" s="354"/>
      <c r="D31" s="19"/>
      <c r="E31" s="19"/>
      <c r="F31" s="19"/>
      <c r="G31" s="19"/>
      <c r="H31" s="19"/>
      <c r="I31" s="19"/>
    </row>
    <row r="32" spans="1:9">
      <c r="A32" s="881" t="str">
        <f>IFERROR("Le taux d'actualisation retenu est de "&amp;ROUND(Paramètres!C7,4)*100&amp;"%. Il correspond au taux d'un compte d'épargne ou assurance-vie.","")</f>
        <v>Le taux d'actualisation retenu est de 1,5%. Il correspond au taux d'un compte d'épargne ou assurance-vie.</v>
      </c>
      <c r="B32" s="881"/>
      <c r="C32" s="881"/>
      <c r="D32" s="881"/>
      <c r="E32" s="881"/>
      <c r="F32" s="881"/>
      <c r="G32" s="881"/>
      <c r="H32" s="881"/>
      <c r="I32" s="881"/>
    </row>
    <row r="33" spans="1:10">
      <c r="A33" s="881" t="str">
        <f ca="1">IFERROR(BO!A97,"")</f>
        <v/>
      </c>
      <c r="B33" s="881"/>
      <c r="C33" s="881"/>
      <c r="D33" s="881"/>
      <c r="E33" s="881"/>
      <c r="F33" s="881"/>
      <c r="G33" s="881"/>
      <c r="H33" s="881"/>
      <c r="I33" s="881"/>
    </row>
    <row r="34" spans="1:10">
      <c r="A34" s="881"/>
      <c r="B34" s="881"/>
      <c r="C34" s="881"/>
      <c r="D34" s="881"/>
      <c r="E34" s="881"/>
      <c r="F34" s="881"/>
      <c r="G34" s="881"/>
      <c r="H34" s="881"/>
      <c r="I34" s="881"/>
    </row>
    <row r="35" spans="1:10">
      <c r="A35" s="356">
        <f ca="1">IFERROR('BO Fin'!C68,"")</f>
        <v>0</v>
      </c>
      <c r="B35" s="329" t="str">
        <f ca="1">IFERROR("Indice de Profitabilité = "&amp;ROUND('BO Fin'!C68,2),"")</f>
        <v>Indice de Profitabilité = 0</v>
      </c>
      <c r="C35" s="354"/>
      <c r="D35" s="19"/>
      <c r="E35" s="19"/>
      <c r="F35" s="19"/>
      <c r="G35" s="19"/>
      <c r="H35" s="19"/>
      <c r="I35" s="19"/>
    </row>
    <row r="36" spans="1:10">
      <c r="A36" s="19" t="str">
        <f ca="1">IFERROR(BO!A110,"")</f>
        <v/>
      </c>
      <c r="B36" s="19"/>
      <c r="C36" s="354"/>
      <c r="D36" s="19"/>
      <c r="E36" s="19"/>
      <c r="F36" s="19"/>
      <c r="G36" s="19"/>
      <c r="H36" s="19"/>
      <c r="I36" s="19"/>
    </row>
    <row r="37" spans="1:10">
      <c r="A37" s="356">
        <f ca="1">IFERROR('BO Fin'!G68,"")</f>
        <v>0</v>
      </c>
      <c r="B37" s="329" t="str">
        <f ca="1">IFERROR("Délai de récupération = "&amp;'BO Fin'!A70,"")</f>
        <v>Délai de récupération = 0 ans et 0 mois et 0 jours, soit 0 mois</v>
      </c>
      <c r="C37" s="19"/>
      <c r="D37" s="19"/>
      <c r="E37" s="19"/>
      <c r="F37" s="19"/>
      <c r="G37" s="19"/>
      <c r="H37" s="19"/>
      <c r="I37" s="19"/>
    </row>
    <row r="38" spans="1:10">
      <c r="A38" s="19" t="str">
        <f ca="1">IFERROR(BO!A119,"")</f>
        <v>Le capital investi est récupéré au bout de 0 ans et 0 mois et 0 jours, soit 0 mois sur 84.</v>
      </c>
      <c r="B38" s="19"/>
      <c r="C38" s="19"/>
      <c r="D38" s="19"/>
      <c r="E38" s="19"/>
      <c r="F38" s="19"/>
      <c r="G38" s="19"/>
      <c r="H38" s="19"/>
      <c r="I38" s="19"/>
    </row>
    <row r="39" spans="1:10">
      <c r="A39" s="19"/>
      <c r="B39" s="19"/>
      <c r="C39" s="19"/>
      <c r="D39" s="19"/>
      <c r="E39" s="19"/>
      <c r="F39" s="19"/>
      <c r="G39" s="19"/>
      <c r="H39" s="19"/>
      <c r="I39" s="19"/>
    </row>
    <row r="40" spans="1:10">
      <c r="A40" s="19"/>
      <c r="B40" s="133" t="str">
        <f>'BO Fin'!B76</f>
        <v>Année 1</v>
      </c>
      <c r="C40" s="133" t="str">
        <f>'BO Fin'!C76</f>
        <v/>
      </c>
      <c r="D40" s="133" t="str">
        <f>'BO Fin'!D76</f>
        <v/>
      </c>
      <c r="E40" s="133" t="str">
        <f>'BO Fin'!E76</f>
        <v/>
      </c>
      <c r="F40" s="133" t="str">
        <f>'BO Fin'!F76</f>
        <v/>
      </c>
      <c r="G40" s="133" t="str">
        <f>'BO Fin'!G76</f>
        <v/>
      </c>
      <c r="H40" s="133" t="str">
        <f>'BO Fin'!H76</f>
        <v/>
      </c>
      <c r="I40" s="133" t="str">
        <f>'BO Fin'!I76</f>
        <v>Total</v>
      </c>
    </row>
    <row r="41" spans="1:10">
      <c r="A41" s="20" t="s">
        <v>504</v>
      </c>
      <c r="B41" s="133">
        <f>'BO Fin'!B77</f>
        <v>12</v>
      </c>
      <c r="C41" s="133">
        <f>'BO Fin'!C77</f>
        <v>12</v>
      </c>
      <c r="D41" s="133">
        <f>'BO Fin'!D77</f>
        <v>12</v>
      </c>
      <c r="E41" s="133">
        <f>'BO Fin'!E77</f>
        <v>12</v>
      </c>
      <c r="F41" s="133">
        <f>'BO Fin'!F77</f>
        <v>12</v>
      </c>
      <c r="G41" s="133">
        <f>'BO Fin'!G77</f>
        <v>12</v>
      </c>
      <c r="H41" s="133">
        <f>'BO Fin'!H77</f>
        <v>12</v>
      </c>
      <c r="I41" s="133">
        <f>'BO Fin'!I77</f>
        <v>84</v>
      </c>
    </row>
    <row r="42" spans="1:10">
      <c r="A42" s="133" t="str">
        <f>'BO Fin'!A78</f>
        <v>CA HT prév</v>
      </c>
      <c r="B42" s="197">
        <f>'BO Fin'!B78</f>
        <v>0</v>
      </c>
      <c r="C42" s="197">
        <f>'BO Fin'!C78</f>
        <v>0</v>
      </c>
      <c r="D42" s="197">
        <f>'BO Fin'!D78</f>
        <v>0</v>
      </c>
      <c r="E42" s="197">
        <f>'BO Fin'!E78</f>
        <v>0</v>
      </c>
      <c r="F42" s="197">
        <f>'BO Fin'!F78</f>
        <v>0</v>
      </c>
      <c r="G42" s="197">
        <f>'BO Fin'!G78</f>
        <v>0</v>
      </c>
      <c r="H42" s="197">
        <f>'BO Fin'!H78</f>
        <v>0</v>
      </c>
      <c r="I42" s="197">
        <f>'BO Fin'!I78</f>
        <v>0</v>
      </c>
    </row>
    <row r="43" spans="1:10">
      <c r="A43" s="133" t="str">
        <f>"1) "&amp;'BO Fin'!A81</f>
        <v>1) Seuil Rent</v>
      </c>
      <c r="B43" s="197">
        <f>IFERROR('BO Fin'!B81,0)</f>
        <v>0</v>
      </c>
      <c r="C43" s="197">
        <f>'BO Fin'!C81</f>
        <v>0</v>
      </c>
      <c r="D43" s="197">
        <f>'BO Fin'!D81</f>
        <v>0</v>
      </c>
      <c r="E43" s="197">
        <f>'BO Fin'!E81</f>
        <v>0</v>
      </c>
      <c r="F43" s="197">
        <f>'BO Fin'!F81</f>
        <v>0</v>
      </c>
      <c r="G43" s="197">
        <f>'BO Fin'!G81</f>
        <v>0</v>
      </c>
      <c r="H43" s="197">
        <f>'BO Fin'!H81</f>
        <v>0</v>
      </c>
      <c r="I43" s="197">
        <f>'BO Fin'!I81</f>
        <v>0</v>
      </c>
    </row>
    <row r="44" spans="1:10">
      <c r="A44" s="357" t="str">
        <f>"2) "&amp;'BO Fin'!A83</f>
        <v>2) Indice Sécurité</v>
      </c>
      <c r="B44" s="23">
        <f>'BO Fin'!B83</f>
        <v>0</v>
      </c>
      <c r="C44" s="23">
        <f>'BO Fin'!C83</f>
        <v>0</v>
      </c>
      <c r="D44" s="23">
        <f>'BO Fin'!D83</f>
        <v>0</v>
      </c>
      <c r="E44" s="23">
        <f>'BO Fin'!E83</f>
        <v>0</v>
      </c>
      <c r="F44" s="23">
        <f>'BO Fin'!F83</f>
        <v>0</v>
      </c>
      <c r="G44" s="23">
        <f>'BO Fin'!G83</f>
        <v>0</v>
      </c>
      <c r="H44" s="23">
        <f>'BO Fin'!H83</f>
        <v>0</v>
      </c>
      <c r="I44" s="23">
        <f>'BO Fin'!I83</f>
        <v>0</v>
      </c>
    </row>
    <row r="45" spans="1:10">
      <c r="A45" s="357" t="str">
        <f>"3) "&amp;'BO Fin'!A84</f>
        <v>3) Levier Op</v>
      </c>
      <c r="B45" s="24">
        <f>IFERROR('BO Fin'!B84,0)</f>
        <v>0</v>
      </c>
      <c r="C45" s="24">
        <f>IFERROR('BO Fin'!C84,0)</f>
        <v>0</v>
      </c>
      <c r="D45" s="24">
        <f>'BO Fin'!D84</f>
        <v>0</v>
      </c>
      <c r="E45" s="24">
        <f>'BO Fin'!E84</f>
        <v>0</v>
      </c>
      <c r="F45" s="24">
        <f>'BO Fin'!F84</f>
        <v>0</v>
      </c>
      <c r="G45" s="24">
        <f>'BO Fin'!G84</f>
        <v>0</v>
      </c>
      <c r="H45" s="24">
        <f>'BO Fin'!H84</f>
        <v>0</v>
      </c>
      <c r="I45" s="24">
        <f>'BO Fin'!I84</f>
        <v>0</v>
      </c>
    </row>
    <row r="46" spans="1:10">
      <c r="A46" s="19" t="str">
        <f>"Sur la durée du projet qui est de "&amp;BO!C16&amp;" mois :"</f>
        <v>Sur la durée du projet qui est de 84 mois :</v>
      </c>
      <c r="B46" s="19"/>
      <c r="C46" s="19"/>
      <c r="D46" s="19"/>
      <c r="E46" s="19"/>
      <c r="F46" s="19"/>
      <c r="G46" s="19"/>
      <c r="H46" s="19"/>
      <c r="I46" s="19"/>
    </row>
    <row r="47" spans="1:10">
      <c r="A47" s="256" t="str">
        <f>IFERROR(BO!A125,"")</f>
        <v/>
      </c>
      <c r="B47" s="19" t="str">
        <f>"1) "&amp;IFERROR(BO!B125,"")</f>
        <v xml:space="preserve">1) </v>
      </c>
      <c r="C47" s="19"/>
      <c r="D47" s="19"/>
      <c r="E47" s="19"/>
      <c r="F47" s="19"/>
      <c r="G47" s="19"/>
      <c r="H47" s="19"/>
      <c r="I47" s="19"/>
    </row>
    <row r="48" spans="1:10">
      <c r="A48" s="256" t="str">
        <f>IFERROR(BO!B130,"")</f>
        <v/>
      </c>
      <c r="B48" s="1019" t="str">
        <f>"2) "&amp;IFERROR(BO!C130,"")</f>
        <v xml:space="preserve">2) </v>
      </c>
      <c r="C48" s="1019"/>
      <c r="D48" s="1019"/>
      <c r="E48" s="1019"/>
      <c r="F48" s="1019"/>
      <c r="G48" s="1019"/>
      <c r="H48" s="1019"/>
      <c r="I48" s="1020"/>
      <c r="J48" s="3"/>
    </row>
    <row r="49" spans="1:10">
      <c r="A49" s="19"/>
      <c r="B49" s="1019"/>
      <c r="C49" s="1019"/>
      <c r="D49" s="1019"/>
      <c r="E49" s="1019"/>
      <c r="F49" s="1019"/>
      <c r="G49" s="1019"/>
      <c r="H49" s="1019"/>
      <c r="I49" s="1020"/>
      <c r="J49" s="3"/>
    </row>
    <row r="50" spans="1:10">
      <c r="A50" s="256">
        <f>IFERROR(BO!B141,"")</f>
        <v>1</v>
      </c>
      <c r="B50" s="881" t="str">
        <f>"3) "&amp;IFERROR(BO!C141,"")</f>
        <v>3) Une diminution de 1% du CA HT entraîne une baisse de l'EBE de 0%. Levier opérationnel faible : risque maîtrisé.</v>
      </c>
      <c r="C50" s="881"/>
      <c r="D50" s="881"/>
      <c r="E50" s="881"/>
      <c r="F50" s="881"/>
      <c r="G50" s="881"/>
      <c r="H50" s="881"/>
      <c r="I50" s="973"/>
      <c r="J50" s="3"/>
    </row>
    <row r="51" spans="1:10">
      <c r="B51" s="881"/>
      <c r="C51" s="881"/>
      <c r="D51" s="881"/>
      <c r="E51" s="881"/>
      <c r="F51" s="881"/>
      <c r="G51" s="881"/>
      <c r="H51" s="881"/>
      <c r="I51" s="973"/>
      <c r="J51" s="3"/>
    </row>
    <row r="52" spans="1:10">
      <c r="B52" s="42"/>
      <c r="C52" s="42"/>
      <c r="D52" s="42"/>
      <c r="E52" s="42"/>
      <c r="F52" s="42"/>
      <c r="G52" s="42"/>
      <c r="H52" s="42"/>
      <c r="I52" s="30">
        <v>7</v>
      </c>
      <c r="J52" s="3"/>
    </row>
  </sheetData>
  <sheetProtection password="CF95" sheet="1" objects="1" scenarios="1"/>
  <mergeCells count="8">
    <mergeCell ref="B48:I49"/>
    <mergeCell ref="B50:I51"/>
    <mergeCell ref="B2:I4"/>
    <mergeCell ref="A6:I7"/>
    <mergeCell ref="B13:I14"/>
    <mergeCell ref="B15:I16"/>
    <mergeCell ref="A32:I32"/>
    <mergeCell ref="A33:I34"/>
  </mergeCells>
  <conditionalFormatting sqref="A37">
    <cfRule type="iconSet" priority="5">
      <iconSet iconSet="3Symbols" showValue="0" reverse="1">
        <cfvo type="percent" val="0"/>
        <cfvo type="num" val="0.8"/>
        <cfvo type="num" val="1"/>
      </iconSet>
    </cfRule>
  </conditionalFormatting>
  <conditionalFormatting sqref="A47">
    <cfRule type="iconSet" priority="4">
      <iconSet iconSet="3Symbols" showValue="0">
        <cfvo type="percent" val="0"/>
        <cfvo type="num" val="0"/>
        <cfvo type="num" val="1"/>
      </iconSet>
    </cfRule>
  </conditionalFormatting>
  <conditionalFormatting sqref="A48">
    <cfRule type="iconSet" priority="3">
      <iconSet iconSet="3Symbols" showValue="0">
        <cfvo type="percent" val="0"/>
        <cfvo type="num" val="0"/>
        <cfvo type="num" val="1"/>
      </iconSet>
    </cfRule>
  </conditionalFormatting>
  <conditionalFormatting sqref="A50">
    <cfRule type="iconSet" priority="2">
      <iconSet iconSet="3Symbols" showValue="0">
        <cfvo type="percent" val="0"/>
        <cfvo type="num" val="0"/>
        <cfvo type="num" val="1"/>
      </iconSet>
    </cfRule>
  </conditionalFormatting>
  <conditionalFormatting sqref="A13">
    <cfRule type="iconSet" priority="1">
      <iconSet iconSet="3Symbols" showValue="0">
        <cfvo type="percent" val="0"/>
        <cfvo type="percent" val="50"/>
        <cfvo type="percent" val="80"/>
      </iconSet>
    </cfRule>
  </conditionalFormatting>
  <conditionalFormatting sqref="B28:H28">
    <cfRule type="dataBar" priority="8">
      <dataBar>
        <cfvo type="min"/>
        <cfvo type="max"/>
        <color rgb="FFFFB628"/>
      </dataBar>
      <extLst>
        <ext xmlns:x14="http://schemas.microsoft.com/office/spreadsheetml/2009/9/main" uri="{B025F937-C7B1-47D3-B67F-A62EFF666E3E}">
          <x14:id>{196872CE-991B-45EA-B2DF-6AF3D5431659}</x14:id>
        </ext>
      </extLst>
    </cfRule>
  </conditionalFormatting>
  <pageMargins left="0.31496062992125984" right="0.31496062992125984" top="0.55118110236220474" bottom="0.55118110236220474"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196872CE-991B-45EA-B2DF-6AF3D5431659}">
            <x14:dataBar minLength="0" maxLength="100" gradient="0">
              <x14:cfvo type="autoMin"/>
              <x14:cfvo type="autoMax"/>
              <x14:negativeFillColor rgb="FFFF0000"/>
              <x14:axisColor rgb="FF000000"/>
            </x14:dataBar>
          </x14:cfRule>
          <xm:sqref>B28:H28</xm:sqref>
        </x14:conditionalFormatting>
        <x14:conditionalFormatting xmlns:xm="http://schemas.microsoft.com/office/excel/2006/main">
          <x14:cfRule type="iconSet" priority="7" id="{CB0B4307-4441-4FC3-88E1-E2BDBC655B07}">
            <x14:iconSet iconSet="3Symbols" showValue="0">
              <x14:cfvo type="percent">
                <xm:f>0</xm:f>
              </x14:cfvo>
              <x14:cfvo type="num">
                <xm:f>0</xm:f>
              </x14:cfvo>
              <x14:cfvo type="formula">
                <xm:f>'BO Fin'!$G$72</xm:f>
              </x14:cfvo>
            </x14:iconSet>
          </x14:cfRule>
          <xm:sqref>A31</xm:sqref>
        </x14:conditionalFormatting>
        <x14:conditionalFormatting xmlns:xm="http://schemas.microsoft.com/office/excel/2006/main">
          <x14:cfRule type="iconSet" priority="66" id="{40E9A887-FB96-425F-AC9A-56D0927B1244}">
            <x14:iconSet iconSet="3Symbols" showValue="0">
              <x14:cfvo type="percent">
                <xm:f>0</xm:f>
              </x14:cfvo>
              <x14:cfvo type="num">
                <xm:f>0</xm:f>
              </x14:cfvo>
              <x14:cfvo type="formula">
                <xm:f>1+Paramètres!$C$7</xm:f>
              </x14:cfvo>
            </x14:iconSet>
          </x14:cfRule>
          <xm:sqref>A35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52"/>
  <sheetViews>
    <sheetView tabSelected="1" topLeftCell="A19" workbookViewId="0">
      <selection activeCell="K56" sqref="K56"/>
    </sheetView>
  </sheetViews>
  <sheetFormatPr baseColWidth="10" defaultRowHeight="15"/>
  <cols>
    <col min="1" max="1" width="13.42578125" customWidth="1"/>
    <col min="2" max="9" width="9.85546875" customWidth="1"/>
  </cols>
  <sheetData>
    <row r="1" spans="1:9">
      <c r="A1" s="353"/>
      <c r="B1" s="353"/>
      <c r="C1" s="353"/>
      <c r="D1" s="353"/>
      <c r="E1" s="353"/>
      <c r="F1" s="353"/>
      <c r="G1" s="353"/>
      <c r="H1" s="353"/>
      <c r="I1" s="353"/>
    </row>
    <row r="2" spans="1:9">
      <c r="A2" s="426"/>
      <c r="B2" s="955" t="s">
        <v>680</v>
      </c>
      <c r="C2" s="955"/>
      <c r="D2" s="955"/>
      <c r="E2" s="955"/>
      <c r="F2" s="955"/>
      <c r="G2" s="955"/>
      <c r="H2" s="955"/>
      <c r="I2" s="955"/>
    </row>
    <row r="3" spans="1:9">
      <c r="A3" s="426"/>
      <c r="B3" s="955"/>
      <c r="C3" s="955"/>
      <c r="D3" s="955"/>
      <c r="E3" s="955"/>
      <c r="F3" s="955"/>
      <c r="G3" s="955"/>
      <c r="H3" s="955"/>
      <c r="I3" s="955"/>
    </row>
    <row r="4" spans="1:9">
      <c r="A4" s="427"/>
      <c r="B4" s="955"/>
      <c r="C4" s="955"/>
      <c r="D4" s="955"/>
      <c r="E4" s="955"/>
      <c r="F4" s="955"/>
      <c r="G4" s="955"/>
      <c r="H4" s="955"/>
      <c r="I4" s="955"/>
    </row>
    <row r="5" spans="1:9">
      <c r="A5" s="19"/>
      <c r="B5" s="19"/>
      <c r="C5" s="19"/>
      <c r="D5" s="19"/>
      <c r="E5" s="19"/>
      <c r="F5" s="19"/>
      <c r="G5" s="19"/>
      <c r="H5" s="19"/>
      <c r="I5" s="19"/>
    </row>
    <row r="6" spans="1:9">
      <c r="A6" s="19"/>
      <c r="B6" s="19"/>
      <c r="C6" s="19"/>
      <c r="D6" s="19"/>
      <c r="E6" s="19"/>
      <c r="F6" s="19"/>
      <c r="G6" s="19"/>
      <c r="H6" s="19"/>
      <c r="I6" s="19"/>
    </row>
    <row r="7" spans="1:9">
      <c r="A7" s="19"/>
      <c r="B7" s="19"/>
      <c r="C7" s="19"/>
      <c r="D7" s="19"/>
      <c r="E7" s="19"/>
      <c r="F7" s="19"/>
      <c r="G7" s="19"/>
      <c r="H7" s="19"/>
      <c r="I7" s="19"/>
    </row>
    <row r="8" spans="1:9">
      <c r="A8" s="29" t="s">
        <v>668</v>
      </c>
      <c r="B8" s="19"/>
      <c r="C8" s="19"/>
      <c r="D8" s="19"/>
      <c r="E8" s="19"/>
      <c r="F8" s="19"/>
      <c r="G8" s="19"/>
      <c r="H8" s="19"/>
      <c r="I8" s="19"/>
    </row>
    <row r="9" spans="1:9">
      <c r="A9" s="19"/>
      <c r="B9" s="19" t="str">
        <f>"Vous avez pour "&amp;'CACh prévi'!H24-'BO Cout Fin'!N13-'BO Cout Fin'!N14&amp;" € d'investissement."</f>
        <v>Vous avez pour 0 € d'investissement.</v>
      </c>
      <c r="C9" s="193"/>
      <c r="D9" s="193"/>
      <c r="E9" s="193"/>
      <c r="F9" s="193"/>
      <c r="G9" s="193"/>
      <c r="H9" s="193"/>
      <c r="I9" s="19"/>
    </row>
    <row r="10" spans="1:9">
      <c r="A10" s="19"/>
      <c r="B10" s="19" t="str">
        <f>IFERROR("Vous avez pour "&amp;ROUND('BO Fin'!C7*'BO Fin'!B12/360,0)&amp;" € de besoin en trésorerie pour le démarrage du projet.","")</f>
        <v>Vous avez pour 0 € de besoin en trésorerie pour le démarrage du projet.</v>
      </c>
      <c r="C10" s="19"/>
      <c r="D10" s="19"/>
      <c r="E10" s="19"/>
      <c r="F10" s="19"/>
      <c r="G10" s="19"/>
      <c r="H10" s="19"/>
      <c r="I10" s="19"/>
    </row>
    <row r="11" spans="1:9">
      <c r="A11" s="19"/>
      <c r="B11" s="19" t="str">
        <f>'P6'!A26</f>
        <v>Vous n'avez pas d'apport personnel pour financer mon projet.</v>
      </c>
      <c r="C11" s="19"/>
      <c r="D11" s="19"/>
      <c r="E11" s="19"/>
      <c r="F11" s="19"/>
      <c r="G11" s="19"/>
      <c r="H11" s="19"/>
      <c r="I11" s="19"/>
    </row>
    <row r="12" spans="1:9">
      <c r="A12" s="19"/>
      <c r="B12" s="19" t="str">
        <f>'P6'!A27</f>
        <v>Vous ne bénéficiez pas de subvention pour financer votre projet.</v>
      </c>
      <c r="C12" s="19"/>
      <c r="D12" s="19"/>
      <c r="E12" s="19"/>
      <c r="F12" s="19"/>
      <c r="G12" s="19"/>
      <c r="H12" s="19"/>
      <c r="I12" s="19"/>
    </row>
    <row r="13" spans="1:9">
      <c r="A13" s="19"/>
      <c r="B13" s="19" t="str">
        <f>"Vous allez prendre en crédit-bail "&amp;'BO Cout Fin'!N10&amp;IF('BO Cout Fin'!N10&gt;1," machines."," machine.")</f>
        <v>Vous allez prendre en crédit-bail 0 machine.</v>
      </c>
      <c r="C13" s="19"/>
      <c r="D13" s="19"/>
      <c r="E13" s="19"/>
      <c r="F13" s="19"/>
      <c r="G13" s="19"/>
      <c r="H13" s="19"/>
      <c r="I13" s="19"/>
    </row>
    <row r="14" spans="1:9">
      <c r="A14" s="19"/>
      <c r="B14" s="19" t="s">
        <v>669</v>
      </c>
      <c r="C14" s="19"/>
      <c r="D14" s="19"/>
      <c r="E14" s="19"/>
      <c r="F14" s="19"/>
      <c r="G14" s="19"/>
      <c r="H14" s="19"/>
      <c r="I14" s="19"/>
    </row>
    <row r="15" spans="1:9">
      <c r="A15" s="19"/>
      <c r="B15" s="19"/>
      <c r="C15" s="19"/>
      <c r="D15" s="19"/>
      <c r="E15" s="19"/>
      <c r="F15" s="19"/>
      <c r="G15" s="19"/>
      <c r="H15" s="19"/>
      <c r="I15" s="19"/>
    </row>
    <row r="16" spans="1:9">
      <c r="A16" s="19"/>
      <c r="B16" s="17"/>
      <c r="C16" s="913" t="str">
        <f>'BO Cout Fin'!K4</f>
        <v>Emprunt 1</v>
      </c>
      <c r="D16" s="915"/>
      <c r="E16" s="913" t="str">
        <f>'BO Cout Fin'!K5</f>
        <v>Emprunt 2</v>
      </c>
      <c r="F16" s="915"/>
      <c r="G16" s="913" t="str">
        <f>'BO Cout Fin'!K6</f>
        <v>Emprunt 3</v>
      </c>
      <c r="H16" s="915"/>
      <c r="I16" s="19"/>
    </row>
    <row r="17" spans="1:9">
      <c r="A17" s="794" t="str">
        <f>'Emprunt 1'!B9</f>
        <v>Montant :</v>
      </c>
      <c r="B17" s="796"/>
      <c r="C17" s="913">
        <f>IF(ISBLANK('Emprunt 1'!C9),"",'Emprunt 1'!C9)</f>
        <v>0</v>
      </c>
      <c r="D17" s="915"/>
      <c r="E17" s="913">
        <f>IF(ISBLANK('Emprunt 2'!C9),"",'Emprunt 2'!C9)</f>
        <v>0</v>
      </c>
      <c r="F17" s="915"/>
      <c r="G17" s="913">
        <f>IF(ISBLANK('Emprunt 3'!C9),"",'Emprunt 3'!C9)</f>
        <v>0</v>
      </c>
      <c r="H17" s="915"/>
      <c r="I17" s="19"/>
    </row>
    <row r="18" spans="1:9">
      <c r="A18" s="403" t="str">
        <f>'Emprunt 1'!B10</f>
        <v>Taux d'intérêt annuel :</v>
      </c>
      <c r="B18" s="403"/>
      <c r="C18" s="1023">
        <f>IF(ISBLANK('Emprunt 1'!C10),"",'Emprunt 1'!C10)</f>
        <v>0</v>
      </c>
      <c r="D18" s="1024"/>
      <c r="E18" s="1023">
        <f>IF(ISBLANK('Emprunt 2'!C10),"",'Emprunt 2'!C10)</f>
        <v>0</v>
      </c>
      <c r="F18" s="1024"/>
      <c r="G18" s="1023">
        <f>IF(ISBLANK('Emprunt 3'!C10),"",'Emprunt 3'!C10)</f>
        <v>0</v>
      </c>
      <c r="H18" s="1024"/>
      <c r="I18" s="19"/>
    </row>
    <row r="19" spans="1:9">
      <c r="A19" s="1021" t="str">
        <f>'Emprunt 1'!B11</f>
        <v>Durée en mois :</v>
      </c>
      <c r="B19" s="1022"/>
      <c r="C19" s="1025">
        <f>IF(ISBLANK('Emprunt 1'!C11),"",'Emprunt 1'!C11)</f>
        <v>0</v>
      </c>
      <c r="D19" s="1026"/>
      <c r="E19" s="1025">
        <f>IF(ISBLANK('Emprunt 2'!C11),"",'Emprunt 2'!C11)</f>
        <v>0</v>
      </c>
      <c r="F19" s="1026"/>
      <c r="G19" s="1025">
        <f>IF(ISBLANK('Emprunt 3'!C11),"",'Emprunt 3'!C11)</f>
        <v>0</v>
      </c>
      <c r="H19" s="1026"/>
      <c r="I19" s="19"/>
    </row>
    <row r="20" spans="1:9">
      <c r="A20" s="403" t="str">
        <f>'Emprunt 1'!B12</f>
        <v>Date du premier paiement :</v>
      </c>
      <c r="B20" s="403"/>
      <c r="C20" s="1027">
        <f>IF(ISBLANK('Emprunt 1'!C12),"",'Emprunt 1'!C12)</f>
        <v>0</v>
      </c>
      <c r="D20" s="1028"/>
      <c r="E20" s="1027">
        <f>IF(ISBLANK('Emprunt 2'!C12),"",'Emprunt 2'!C12)</f>
        <v>0</v>
      </c>
      <c r="F20" s="1028"/>
      <c r="G20" s="1027">
        <f>IF(ISBLANK('Emprunt 3'!C12),"",'Emprunt 3'!C12)</f>
        <v>0</v>
      </c>
      <c r="H20" s="1028"/>
      <c r="I20" s="19"/>
    </row>
    <row r="21" spans="1:9">
      <c r="A21" s="403" t="s">
        <v>440</v>
      </c>
      <c r="B21" s="403"/>
      <c r="C21" s="1029">
        <f>IF(ISBLANK('Emprunt 1'!F9),"",'Emprunt 1'!F9)</f>
        <v>0</v>
      </c>
      <c r="D21" s="1030"/>
      <c r="E21" s="1029">
        <f>IF(ISBLANK('Emprunt 2'!F9),"",'Emprunt 2'!F9)</f>
        <v>0</v>
      </c>
      <c r="F21" s="1030"/>
      <c r="G21" s="1029">
        <f>IF(ISBLANK('Emprunt 3'!F9),"",'Emprunt 3'!F9)</f>
        <v>0</v>
      </c>
      <c r="H21" s="1030"/>
      <c r="I21" s="19"/>
    </row>
    <row r="22" spans="1:9">
      <c r="A22" s="428" t="s">
        <v>551</v>
      </c>
      <c r="B22" s="403"/>
      <c r="C22" s="402">
        <f>IFERROR(IF(('BO AF'!B108/('BO AF'!B141+Fin!B55+Fin!B56+Fin!B57))&gt;25%,"Oui","Non"),0)</f>
        <v>0</v>
      </c>
      <c r="D22" s="429">
        <f>IFERROR(IF(('BO AF'!B108/('BO AF'!B141+Fin!B55+Fin!B56+Fin!B57))&gt;25%,"car "&amp;ROUND(('BO AF'!B108/('BO AF'!B141+Fin!B55+Fin!B56+Fin!B57)),4)*100&amp;"%&gt;25%","car "&amp;ROUND(('BO AF'!B108/('BO AF'!B141+Fin!B55+Fin!B56+Fin!B57)),4)*100&amp;"%&lt;25%"),0)</f>
        <v>0</v>
      </c>
      <c r="E22" s="19"/>
      <c r="F22" s="19"/>
      <c r="G22" s="444">
        <f>IFERROR(('BO AF'!B108/('BO AF'!B141+Fin!B55+Fin!B56+Fin!B57))*100,0)</f>
        <v>0</v>
      </c>
      <c r="H22" s="430">
        <f>G22</f>
        <v>0</v>
      </c>
      <c r="I22" s="19"/>
    </row>
    <row r="23" spans="1:9">
      <c r="A23" s="428" t="s">
        <v>552</v>
      </c>
      <c r="B23" s="403"/>
      <c r="C23" s="401">
        <f>IFERROR(IF((('BO AF'!B123+Fin!B55+Fin!B56+Fin!B57)/('BO AF'!B197+'BO Fin'!B17))&lt;4,"Oui","Non"),0)</f>
        <v>0</v>
      </c>
      <c r="D23" s="431">
        <f>IFERROR(IF((('BO AF'!B123+Fin!B55+Fin!B56+Fin!B57)/('BO AF'!B197+'BO Fin'!B17))&lt;4,"car "&amp;ROUND((('BO AF'!B123+Fin!B55+Fin!B56+Fin!B57)/('BO AF'!B197+'BO Fin'!B17)),2)&amp;" &lt; 4 ans","car "&amp;arrondio((('BO AF'!B123+Fin!B55+Fin!B56+Fin!B57)/('BO AF'!B197+'BO Fin'!B17)),2)&amp;" &gt; 4 ans"),0)</f>
        <v>0</v>
      </c>
      <c r="E23" s="217"/>
      <c r="F23" s="333"/>
      <c r="G23" s="333">
        <f>IFERROR((('BO AF'!B123+Fin!B55+Fin!B56+Fin!B57)/('BO AF'!B197+'BO Fin'!B17))*100,0)</f>
        <v>0</v>
      </c>
      <c r="H23" s="432">
        <f>IFERROR((('BO AF'!B123+Fin!B55+Fin!B56+Fin!B57)/('BO AF'!B197+'BO Fin'!B17)),0)</f>
        <v>0</v>
      </c>
      <c r="I23" s="19"/>
    </row>
    <row r="24" spans="1:9">
      <c r="A24" s="19"/>
      <c r="B24" s="19"/>
      <c r="C24" s="19"/>
      <c r="D24" s="19"/>
      <c r="E24" s="19"/>
      <c r="F24" s="19"/>
      <c r="G24" s="19"/>
      <c r="H24" s="19"/>
      <c r="I24" s="19"/>
    </row>
    <row r="25" spans="1:9">
      <c r="A25" s="19" t="s">
        <v>553</v>
      </c>
      <c r="B25" s="19"/>
      <c r="C25" s="19"/>
      <c r="D25" s="19"/>
      <c r="E25" s="19"/>
      <c r="F25" s="19"/>
      <c r="G25" s="19"/>
      <c r="H25" s="19"/>
      <c r="I25" s="19"/>
    </row>
    <row r="26" spans="1:9" ht="15" customHeight="1">
      <c r="A26" s="433">
        <f>IF(ISBLANK(Fin!B37),1,IF('Emprunt 1'!F9+'Emprunt 2'!F9+'Emprunt 3'!F9&gt;Fin!B37,-1,1))</f>
        <v>1</v>
      </c>
      <c r="B26" s="892" t="str">
        <f>"Le montant maximum des mensualités à rembourser est de "&amp;ROUND('Emprunt 1'!F9+'Emprunt 2'!F9+'Emprunt 3'!F9,2)&amp;" euros/mois. "&amp;IF(Fin!B37&gt;0,"(Pour rappel, le montant maximum souhaité : "&amp;Fin!B37&amp;" €).","")</f>
        <v xml:space="preserve">Le montant maximum des mensualités à rembourser est de 0 euros/mois. </v>
      </c>
      <c r="C26" s="892"/>
      <c r="D26" s="892"/>
      <c r="E26" s="892"/>
      <c r="F26" s="892"/>
      <c r="G26" s="892"/>
      <c r="H26" s="892"/>
      <c r="I26" s="892"/>
    </row>
    <row r="27" spans="1:9">
      <c r="A27" s="19"/>
      <c r="B27" s="892"/>
      <c r="C27" s="892"/>
      <c r="D27" s="892"/>
      <c r="E27" s="892"/>
      <c r="F27" s="892"/>
      <c r="G27" s="892"/>
      <c r="H27" s="892"/>
      <c r="I27" s="892"/>
    </row>
    <row r="28" spans="1:9">
      <c r="A28" s="256">
        <f>IF(C22="oui",1,-1)</f>
        <v>-1</v>
      </c>
      <c r="B28" s="19" t="str">
        <f>IF(C22="oui","L'autonomie financière de l'entreprise est préservée.","L'entreprise devient trop endettée. Il se peut que l'emprunt bancaire ne soit pas accordé.")</f>
        <v>L'entreprise devient trop endettée. Il se peut que l'emprunt bancaire ne soit pas accordé.</v>
      </c>
      <c r="C28" s="19"/>
      <c r="D28" s="19"/>
      <c r="E28" s="19"/>
      <c r="F28" s="19"/>
      <c r="G28" s="19"/>
      <c r="H28" s="19"/>
      <c r="I28" s="19"/>
    </row>
    <row r="29" spans="1:9">
      <c r="A29" s="256">
        <f>IF(C23="oui",1,-1)</f>
        <v>-1</v>
      </c>
      <c r="B29" s="892" t="str">
        <f>IF(C23="Oui","L'entreprise a une bonne capacité de remboursement.","L'entreprise risque d'éprouver des difficultés à rembourser ses emprunts. Il se peut que l'emprunt bancaire ne soit pas accordé.")</f>
        <v>L'entreprise risque d'éprouver des difficultés à rembourser ses emprunts. Il se peut que l'emprunt bancaire ne soit pas accordé.</v>
      </c>
      <c r="C29" s="892"/>
      <c r="D29" s="892"/>
      <c r="E29" s="892"/>
      <c r="F29" s="892"/>
      <c r="G29" s="892"/>
      <c r="H29" s="892"/>
      <c r="I29" s="892"/>
    </row>
    <row r="30" spans="1:9">
      <c r="A30" s="19"/>
      <c r="B30" s="892"/>
      <c r="C30" s="892"/>
      <c r="D30" s="892"/>
      <c r="E30" s="892"/>
      <c r="F30" s="892"/>
      <c r="G30" s="892"/>
      <c r="H30" s="892"/>
      <c r="I30" s="892"/>
    </row>
    <row r="31" spans="1:9">
      <c r="A31" s="19"/>
      <c r="B31" s="19"/>
      <c r="C31" s="19"/>
      <c r="D31" s="19"/>
      <c r="E31" s="19"/>
      <c r="F31" s="19"/>
      <c r="G31" s="19"/>
      <c r="H31" s="19"/>
      <c r="I31" s="19"/>
    </row>
    <row r="32" spans="1:9">
      <c r="A32" s="19"/>
      <c r="B32" s="434" t="str">
        <f>'BO Fin'!B56</f>
        <v>Début An1</v>
      </c>
      <c r="C32" s="434" t="str">
        <f>'BO Fin'!C56</f>
        <v>Fin An1</v>
      </c>
      <c r="D32" s="434" t="str">
        <f>'BO Fin'!D56</f>
        <v>Fin An2</v>
      </c>
      <c r="E32" s="434" t="str">
        <f>'BO Fin'!E56</f>
        <v>Fin An3</v>
      </c>
      <c r="F32" s="434" t="str">
        <f>'BO Fin'!F56</f>
        <v>Fin An4</v>
      </c>
      <c r="G32" s="434" t="str">
        <f>'BO Fin'!G56</f>
        <v>Fin An5</v>
      </c>
      <c r="H32" s="434" t="str">
        <f>'BO Fin'!H56</f>
        <v>Fin An6</v>
      </c>
      <c r="I32" s="434" t="str">
        <f>'BO Fin'!I56</f>
        <v>Fin An7</v>
      </c>
    </row>
    <row r="33" spans="1:9">
      <c r="A33" s="435" t="s">
        <v>423</v>
      </c>
      <c r="B33" s="436"/>
      <c r="C33" s="436"/>
      <c r="D33" s="436"/>
      <c r="E33" s="436"/>
      <c r="F33" s="436"/>
      <c r="G33" s="436"/>
      <c r="H33" s="436"/>
      <c r="I33" s="437"/>
    </row>
    <row r="34" spans="1:9">
      <c r="A34" s="141" t="s">
        <v>0</v>
      </c>
      <c r="B34" s="276">
        <f>'BO Fin'!B57</f>
        <v>0</v>
      </c>
      <c r="C34" s="276">
        <f>'BO Cout Fin'!M41</f>
        <v>0</v>
      </c>
      <c r="D34" s="276">
        <f>'BO Cout Fin'!N41</f>
        <v>0</v>
      </c>
      <c r="E34" s="276">
        <f>'BO Cout Fin'!O41</f>
        <v>0</v>
      </c>
      <c r="F34" s="276">
        <f>'BO Cout Fin'!P41</f>
        <v>0</v>
      </c>
      <c r="G34" s="276">
        <f>IFERROR('BO Cout Fin'!Q41,0)</f>
        <v>0</v>
      </c>
      <c r="H34" s="276">
        <f>IFERROR('BO Cout Fin'!R41,0)</f>
        <v>0</v>
      </c>
      <c r="I34" s="276">
        <f>IFERROR('BO Cout Fin'!S41,0)</f>
        <v>0</v>
      </c>
    </row>
    <row r="35" spans="1:9">
      <c r="A35" s="141" t="s">
        <v>554</v>
      </c>
      <c r="B35" s="276">
        <f ca="1">SUMIF(Fin!$C28:$D30,BO!$F9,Fin!$B28:$B30)</f>
        <v>0</v>
      </c>
      <c r="C35" s="276">
        <f ca="1">SUMIF(Fin!$C28:$D30,BO!$F10,Fin!$B28:$B30)</f>
        <v>0</v>
      </c>
      <c r="D35" s="276">
        <f ca="1">SUMIF(Fin!$C28:$D30,BO!$F11,Fin!$B28:$B30)</f>
        <v>0</v>
      </c>
      <c r="E35" s="276">
        <f ca="1">SUMIF(Fin!$C28:$D30,BO!$F12,Fin!$B28:$B30)</f>
        <v>0</v>
      </c>
      <c r="F35" s="276">
        <f ca="1">SUMIF(Fin!$C28:$D30,BO!$F13,Fin!$B28:$B30)</f>
        <v>0</v>
      </c>
      <c r="G35" s="276">
        <f ca="1">SUMIF(Fin!$C28:$D30,BO!$F14,Fin!$B28:$B30)</f>
        <v>0</v>
      </c>
      <c r="H35" s="276">
        <f ca="1">SUMIF(Fin!$C28:$D30,BO!$F15,Fin!$B28:$B30)</f>
        <v>0</v>
      </c>
      <c r="I35" s="276">
        <f ca="1">SUMIF(Fin!$C28:$D30,BO!$F16,Fin!$B28:$B30)</f>
        <v>0</v>
      </c>
    </row>
    <row r="36" spans="1:9">
      <c r="A36" s="141" t="s">
        <v>322</v>
      </c>
      <c r="B36" s="276">
        <f ca="1">SUMIF(Fin!$C25:$D27,BO!$F9,Fin!$B25:$B27)</f>
        <v>0</v>
      </c>
      <c r="C36" s="276">
        <f ca="1">SUMIF(Fin!$C25:$D27,BO!$F10,Fin!$B25:$B27)</f>
        <v>0</v>
      </c>
      <c r="D36" s="276">
        <f ca="1">SUMIF(Fin!$C25:$D27,BO!$F11,Fin!$B25:$B27)</f>
        <v>0</v>
      </c>
      <c r="E36" s="276">
        <f ca="1">SUMIF(Fin!$C25:$D27,BO!$F12,Fin!$B25:$B27)</f>
        <v>0</v>
      </c>
      <c r="F36" s="276">
        <f ca="1">SUMIF(Fin!$C25:$D27,BO!$F13,Fin!$B25:$B27)</f>
        <v>0</v>
      </c>
      <c r="G36" s="276">
        <f ca="1">SUMIF(Fin!$C25:$D27,BO!$F14,Fin!$B25:$B27)</f>
        <v>0</v>
      </c>
      <c r="H36" s="276">
        <f ca="1">SUMIF(Fin!$C25:$D27,BO!$F15,Fin!$B25:$B27)</f>
        <v>0</v>
      </c>
      <c r="I36" s="276">
        <f ca="1">SUMIF(Fin!$C25:$D27,BO!$F16,Fin!$B25:$B27)</f>
        <v>0</v>
      </c>
    </row>
    <row r="37" spans="1:9">
      <c r="A37" s="141" t="s">
        <v>424</v>
      </c>
      <c r="B37" s="276">
        <f>'BO Cout Fin'!B4</f>
        <v>0</v>
      </c>
      <c r="C37" s="276">
        <f>'BO Cout Fin'!C4</f>
        <v>0</v>
      </c>
      <c r="D37" s="276">
        <f>'BO Cout Fin'!D4</f>
        <v>0</v>
      </c>
      <c r="E37" s="276">
        <f>'BO Cout Fin'!E4</f>
        <v>0</v>
      </c>
      <c r="F37" s="276">
        <f>'BO Cout Fin'!F4</f>
        <v>0</v>
      </c>
      <c r="G37" s="276">
        <f>'BO Cout Fin'!G4</f>
        <v>0</v>
      </c>
      <c r="H37" s="276">
        <f>'BO Cout Fin'!H4</f>
        <v>0</v>
      </c>
      <c r="I37" s="276">
        <f>'BO Cout Fin'!I4</f>
        <v>0</v>
      </c>
    </row>
    <row r="38" spans="1:9">
      <c r="A38" s="141" t="s">
        <v>425</v>
      </c>
      <c r="B38" s="276">
        <f ca="1">SUMIF(Fin!$C22:$D24,BO!$F9,Fin!$B22:$B24)</f>
        <v>0</v>
      </c>
      <c r="C38" s="276">
        <f ca="1">SUMIF(Fin!$C22:$D24,BO!$F10,Fin!$B22:$B24)</f>
        <v>0</v>
      </c>
      <c r="D38" s="276">
        <f ca="1">SUMIF(Fin!$C22:$D24,BO!$F11,Fin!$B22:$B24)</f>
        <v>0</v>
      </c>
      <c r="E38" s="276">
        <f ca="1">SUMIF(Fin!$C22:$D24,BO!$F12,Fin!$B22:$B24)</f>
        <v>0</v>
      </c>
      <c r="F38" s="276">
        <f ca="1">SUMIF(Fin!$C22:$D24,BO!$F13,Fin!$B22:$B24)</f>
        <v>0</v>
      </c>
      <c r="G38" s="276">
        <f ca="1">SUMIF(Fin!$C22:$D24,BO!$F14,Fin!$B22:$B24)</f>
        <v>0</v>
      </c>
      <c r="H38" s="276">
        <f ca="1">SUMIF(Fin!$C22:$D24,BO!$F15,Fin!$B22:$B24)</f>
        <v>0</v>
      </c>
      <c r="I38" s="276">
        <f ca="1">SUMIF(Fin!$C22:$D24,BO!$F9,Fin!$B24:$B29)</f>
        <v>0</v>
      </c>
    </row>
    <row r="39" spans="1:9">
      <c r="A39" s="141" t="s">
        <v>415</v>
      </c>
      <c r="B39" s="276">
        <f>IF(ISBLANK('CACh prévi'!E15),0,IF('CACh prévi'!E15&lt;=4,'BO Fin'!E48,0))</f>
        <v>0</v>
      </c>
      <c r="C39" s="276">
        <f>IF(ISBLANK('CACh prévi'!E15),0,IF('CACh prévi'!E15&lt;=12,'BO Fin'!E48,0))-B39</f>
        <v>0</v>
      </c>
      <c r="D39" s="276">
        <f>IF(ISBLANK('CACh prévi'!E15),0,IF('CACh prévi'!E15&lt;=24,'BO Fin'!E48,0))-C39-B39</f>
        <v>0</v>
      </c>
      <c r="E39" s="276">
        <f>IF(ISBLANK('CACh prévi'!E15),0,IF('CACh prévi'!E15&lt;=36,'BO Fin'!E48,0))-D39-C39-B39</f>
        <v>0</v>
      </c>
      <c r="F39" s="276">
        <f>IF(ISBLANK('CACh prévi'!E15),0,IF('CACh prévi'!E15&lt;=48,'BO Fin'!E48,0))-E39-D39-C39-B39</f>
        <v>0</v>
      </c>
      <c r="G39" s="276">
        <f>IF(ISBLANK('CACh prévi'!E15),0,IF('CACh prévi'!E15&lt;=60,'BO Fin'!E48,0))-F39-E39-D39-C39-B39</f>
        <v>0</v>
      </c>
      <c r="H39" s="276">
        <f>IF(ISBLANK('CACh prévi'!E15),0,IF('CACh prévi'!E15&lt;=72,'BO Fin'!E48,0))-G39-F39-E39-D39-C39-B39</f>
        <v>0</v>
      </c>
      <c r="I39" s="276">
        <f>IF(ISBLANK('CACh prévi'!E15),0,IF('CACh prévi'!E15&lt;=84,'BO Fin'!E48,0))-H39-G39-F39-E39-D39-C39-B39</f>
        <v>0</v>
      </c>
    </row>
    <row r="40" spans="1:9">
      <c r="A40" s="438" t="s">
        <v>426</v>
      </c>
      <c r="B40" s="439">
        <f t="shared" ref="B40:I40" ca="1" si="0">SUM(B34:B39)</f>
        <v>0</v>
      </c>
      <c r="C40" s="439">
        <f t="shared" ca="1" si="0"/>
        <v>0</v>
      </c>
      <c r="D40" s="439">
        <f t="shared" ca="1" si="0"/>
        <v>0</v>
      </c>
      <c r="E40" s="439">
        <f t="shared" ca="1" si="0"/>
        <v>0</v>
      </c>
      <c r="F40" s="439">
        <f t="shared" ca="1" si="0"/>
        <v>0</v>
      </c>
      <c r="G40" s="439">
        <f t="shared" ca="1" si="0"/>
        <v>0</v>
      </c>
      <c r="H40" s="439">
        <f t="shared" ca="1" si="0"/>
        <v>0</v>
      </c>
      <c r="I40" s="439">
        <f t="shared" ca="1" si="0"/>
        <v>0</v>
      </c>
    </row>
    <row r="41" spans="1:9">
      <c r="A41" s="435" t="s">
        <v>427</v>
      </c>
      <c r="B41" s="440"/>
      <c r="C41" s="440"/>
      <c r="D41" s="440"/>
      <c r="E41" s="440"/>
      <c r="F41" s="440"/>
      <c r="G41" s="440"/>
      <c r="H41" s="440"/>
      <c r="I41" s="441"/>
    </row>
    <row r="42" spans="1:9">
      <c r="A42" s="141" t="s">
        <v>428</v>
      </c>
      <c r="B42" s="276">
        <f>SUMIFS('BO Fin'!$L11:$L15,'BO Fin'!$R11:$R15,BO!$F9,'BO Fin'!$K11:$K15,'BO Cout Fin'!$S11)+SUMIFS('BO Fin'!$L11:$L15,'BO Fin'!$R11:$R15,BO!$F9,'BO Fin'!$K11:$K15,'BO Cout Fin'!$T11)</f>
        <v>0</v>
      </c>
      <c r="C42" s="276">
        <f>SUMIFS('BO Fin'!$L11:$L15,'BO Fin'!$R11:$R15,BO!$F10,'BO Fin'!$K11:$K15,'BO Cout Fin'!$S11)+SUMIFS('BO Fin'!$L11:$L15,'BO Fin'!$R11:$R15,BO!$F10,'BO Fin'!$K11:$K15,'BO Cout Fin'!$T11)</f>
        <v>0</v>
      </c>
      <c r="D42" s="276">
        <f>SUMIFS('BO Fin'!$L11:$L15,'BO Fin'!$R11:$R15,BO!$F11,'BO Fin'!$K11:$K15,'BO Cout Fin'!$S11)+SUMIFS('BO Fin'!$L11:$L15,'BO Fin'!$R11:$R15,BO!$F11,'BO Fin'!$K11:$K15,'BO Cout Fin'!$T11)</f>
        <v>0</v>
      </c>
      <c r="E42" s="276">
        <f>SUMIFS('BO Fin'!$L11:$L15,'BO Fin'!$R11:$R15,BO!$F12,'BO Fin'!$K11:$K15,'BO Cout Fin'!$S11)+SUMIFS('BO Fin'!$L11:$L15,'BO Fin'!$R11:$R15,BO!$F12,'BO Fin'!$K11:$K15,'BO Cout Fin'!$T11)</f>
        <v>0</v>
      </c>
      <c r="F42" s="276">
        <f>SUMIFS('BO Fin'!$L11:$L15,'BO Fin'!$R11:$R15,BO!$F13,'BO Fin'!$K11:$K15,'BO Cout Fin'!$S11)+SUMIFS('BO Fin'!$L11:$L15,'BO Fin'!$R11:$R15,BO!$F13,'BO Fin'!$K11:$K15,'BO Cout Fin'!$T11)</f>
        <v>0</v>
      </c>
      <c r="G42" s="276">
        <f>SUMIFS('BO Fin'!$L11:$L15,'BO Fin'!$R11:$R15,BO!$F14,'BO Fin'!$K11:$K15,'BO Cout Fin'!$S11)+SUMIFS('BO Fin'!$L11:$L15,'BO Fin'!$R11:$R15,BO!$F14,'BO Fin'!$K11:$K15,'BO Cout Fin'!$T11)</f>
        <v>0</v>
      </c>
      <c r="H42" s="276">
        <f>SUMIFS('BO Fin'!$L11:$L15,'BO Fin'!$R11:$R15,BO!$F15,'BO Fin'!$K11:$K15,'BO Cout Fin'!$S11)+SUMIFS('BO Fin'!$L11:$L15,'BO Fin'!$R11:$R15,BO!$F15,'BO Fin'!$K11:$K15,'BO Cout Fin'!$T11)</f>
        <v>0</v>
      </c>
      <c r="I42" s="276">
        <f>SUMIFS('BO Fin'!$L11:$L15,'BO Fin'!$R11:$R15,BO!$F16,'BO Fin'!$K11:$K15,'BO Cout Fin'!$S11)+SUMIFS('BO Fin'!$L11:$L15,'BO Fin'!$R11:$R15,BO!$F16,'BO Fin'!$K11:$K15,'BO Cout Fin'!$T11)</f>
        <v>0</v>
      </c>
    </row>
    <row r="43" spans="1:9">
      <c r="A43" s="277" t="s">
        <v>390</v>
      </c>
      <c r="B43" s="276">
        <f>'BO Fin'!B61</f>
        <v>0</v>
      </c>
      <c r="C43" s="276">
        <f>'BO Fin'!C61</f>
        <v>0</v>
      </c>
      <c r="D43" s="276">
        <f>'BO Fin'!D61</f>
        <v>0</v>
      </c>
      <c r="E43" s="276">
        <f>'BO Fin'!E61</f>
        <v>0</v>
      </c>
      <c r="F43" s="276">
        <f>'BO Fin'!F61</f>
        <v>0</v>
      </c>
      <c r="G43" s="276">
        <f>'BO Fin'!G61</f>
        <v>0</v>
      </c>
      <c r="H43" s="276">
        <f>'BO Fin'!H61</f>
        <v>0</v>
      </c>
      <c r="I43" s="276">
        <f>'BO Fin'!I61</f>
        <v>0</v>
      </c>
    </row>
    <row r="44" spans="1:9">
      <c r="A44" s="278" t="s">
        <v>429</v>
      </c>
      <c r="B44" s="276">
        <f>SUMIFS('CACh prévi'!$C36:$G36,'CACh prévi'!$C25:$G25,BO!$F9,'CACh prévi'!$C23:$G23,'BO Cout Fin'!$O11)+SUMIFS('CACh prévi'!$C36:$G36,'CACh prévi'!$C25:$G25,BO!$F9,'CACh prévi'!$C23:$G23,'BO Cout Fin'!$N11)</f>
        <v>0</v>
      </c>
      <c r="C44" s="276">
        <f>SUMIFS('CACh prévi'!$C36:$G36,'CACh prévi'!$C25:$G25,BO!$F10,'CACh prévi'!$C23:$G23,'BO Cout Fin'!$O11)+SUMIFS('CACh prévi'!$C36:$G36,'CACh prévi'!$C25:$G25,BO!$F10,'CACh prévi'!$C23:$G23,'BO Cout Fin'!$N11)</f>
        <v>0</v>
      </c>
      <c r="D44" s="276">
        <f>SUMIFS('CACh prévi'!$C36:$G36,'CACh prévi'!$C25:$G25,BO!$F11,'CACh prévi'!$C23:$G23,'BO Cout Fin'!$O11)+SUMIFS('CACh prévi'!$C36:$G36,'CACh prévi'!$C25:$G25,BO!$F11,'CACh prévi'!$C23:$G23,'BO Cout Fin'!$N11)</f>
        <v>0</v>
      </c>
      <c r="E44" s="276">
        <f>SUMIFS('CACh prévi'!$C36:$G36,'CACh prévi'!$C25:$G25,BO!$F12,'CACh prévi'!$C23:$G23,'BO Cout Fin'!$O11)+SUMIFS('CACh prévi'!$C36:$G36,'CACh prévi'!$C25:$G25,BO!$F12,'CACh prévi'!$C23:$G23,'BO Cout Fin'!$N11)</f>
        <v>0</v>
      </c>
      <c r="F44" s="276">
        <f>SUMIFS('CACh prévi'!$C36:$G36,'CACh prévi'!$C25:$G25,BO!$F13,'CACh prévi'!$C23:$G23,'BO Cout Fin'!$O11)+SUMIFS('CACh prévi'!$C36:$G36,'CACh prévi'!$C25:$G25,BO!$F13,'CACh prévi'!$C23:$G23,'BO Cout Fin'!$N11)</f>
        <v>0</v>
      </c>
      <c r="G44" s="276">
        <f>SUMIFS('CACh prévi'!$C36:$G36,'CACh prévi'!$C25:$G25,BO!$F14,'CACh prévi'!$C23:$G23,'BO Cout Fin'!$O11)+SUMIFS('CACh prévi'!$C36:$G36,'CACh prévi'!$C25:$G25,BO!$F14,'CACh prévi'!$C23:$G23,'BO Cout Fin'!$N11)</f>
        <v>0</v>
      </c>
      <c r="H44" s="276">
        <f>SUMIFS('CACh prévi'!$C36:$G36,'CACh prévi'!$C25:$G25,BO!$F15,'CACh prévi'!$C23:$G23,'BO Cout Fin'!$O11)+SUMIFS('CACh prévi'!$C36:$G36,'CACh prévi'!$C25:$G25,BO!$F15,'CACh prévi'!$C23:$G23,'BO Cout Fin'!$N11)</f>
        <v>0</v>
      </c>
      <c r="I44" s="276">
        <f>SUMIFS('CACh prévi'!$C36:$G36,'CACh prévi'!$C25:$G25,BO!$F16,'CACh prévi'!$C23:$G23,'BO Cout Fin'!$O11)+SUMIFS('CACh prévi'!$C36:$G36,'CACh prévi'!$C25:$G25,BO!$F16,'CACh prévi'!$C23:$G23,'BO Cout Fin'!$N11)</f>
        <v>0</v>
      </c>
    </row>
    <row r="45" spans="1:9">
      <c r="A45" s="141" t="s">
        <v>430</v>
      </c>
      <c r="B45" s="276">
        <f>IFERROR('BO Cout Fin'!B5,0)</f>
        <v>0</v>
      </c>
      <c r="C45" s="276">
        <f>IFERROR('BO Cout Fin'!C5,0)</f>
        <v>0</v>
      </c>
      <c r="D45" s="276">
        <f>IFERROR('BO Cout Fin'!D5,0)</f>
        <v>0</v>
      </c>
      <c r="E45" s="276">
        <f>IFERROR('BO Cout Fin'!E5,0)</f>
        <v>0</v>
      </c>
      <c r="F45" s="276">
        <f>IFERROR('BO Cout Fin'!F5,0)</f>
        <v>0</v>
      </c>
      <c r="G45" s="276">
        <f>IFERROR('BO Cout Fin'!G5,0)</f>
        <v>0</v>
      </c>
      <c r="H45" s="276">
        <f>IFERROR('BO Cout Fin'!H5,0)</f>
        <v>0</v>
      </c>
      <c r="I45" s="276">
        <f>IFERROR('BO Cout Fin'!I5,0)</f>
        <v>0</v>
      </c>
    </row>
    <row r="46" spans="1:9">
      <c r="A46" s="141" t="s">
        <v>431</v>
      </c>
      <c r="B46" s="276">
        <f>SUMIF(Fin!$B17:$I17,BO!$F9,Fin!$B18:$I18)</f>
        <v>0</v>
      </c>
      <c r="C46" s="276">
        <f>SUMIF(Fin!$B17:$I17,BO!$F10,Fin!$B18:$I18)</f>
        <v>0</v>
      </c>
      <c r="D46" s="276">
        <f>SUMIF(Fin!$B17:$I17,BO!$F11,Fin!$B18:$I18)</f>
        <v>0</v>
      </c>
      <c r="E46" s="276">
        <f>SUMIF(Fin!$B17:$I17,BO!$F12,Fin!$B18:$I18)</f>
        <v>0</v>
      </c>
      <c r="F46" s="276">
        <f>SUMIF(Fin!$B17:$I17,BO!$F13,Fin!$B18:$I18)</f>
        <v>0</v>
      </c>
      <c r="G46" s="276">
        <f>SUMIF(Fin!$B17:$I17,BO!$F14,Fin!$B18:$I18)</f>
        <v>0</v>
      </c>
      <c r="H46" s="276">
        <f>SUMIF(Fin!$B17:$I17,BO!$F15,Fin!$B18:$I18)</f>
        <v>0</v>
      </c>
      <c r="I46" s="276">
        <f>SUMIF(Fin!$B17:$I17,BO!$F16,Fin!$B18:$I18)</f>
        <v>0</v>
      </c>
    </row>
    <row r="47" spans="1:9">
      <c r="A47" s="438" t="s">
        <v>432</v>
      </c>
      <c r="B47" s="439">
        <f>SUM(B42:B46)</f>
        <v>0</v>
      </c>
      <c r="C47" s="439">
        <f t="shared" ref="C47:I47" si="1">SUM(C42:C46)</f>
        <v>0</v>
      </c>
      <c r="D47" s="439">
        <f t="shared" si="1"/>
        <v>0</v>
      </c>
      <c r="E47" s="439">
        <f t="shared" si="1"/>
        <v>0</v>
      </c>
      <c r="F47" s="439">
        <f t="shared" si="1"/>
        <v>0</v>
      </c>
      <c r="G47" s="439">
        <f t="shared" si="1"/>
        <v>0</v>
      </c>
      <c r="H47" s="439">
        <f t="shared" si="1"/>
        <v>0</v>
      </c>
      <c r="I47" s="439">
        <f t="shared" si="1"/>
        <v>0</v>
      </c>
    </row>
    <row r="48" spans="1:9">
      <c r="A48" s="442" t="s">
        <v>433</v>
      </c>
      <c r="B48" s="443">
        <f ca="1">B40-B47</f>
        <v>0</v>
      </c>
      <c r="C48" s="443">
        <f t="shared" ref="C48" ca="1" si="2">C40-C47</f>
        <v>0</v>
      </c>
      <c r="D48" s="443">
        <f t="shared" ref="D48" ca="1" si="3">D40-D47</f>
        <v>0</v>
      </c>
      <c r="E48" s="443">
        <f t="shared" ref="E48" ca="1" si="4">E40-E47</f>
        <v>0</v>
      </c>
      <c r="F48" s="443">
        <f t="shared" ref="F48" ca="1" si="5">F40-F47</f>
        <v>0</v>
      </c>
      <c r="G48" s="443">
        <f t="shared" ref="G48" ca="1" si="6">G40-G47</f>
        <v>0</v>
      </c>
      <c r="H48" s="443">
        <f t="shared" ref="H48" ca="1" si="7">H40-H47</f>
        <v>0</v>
      </c>
      <c r="I48" s="443">
        <f t="shared" ref="I48" ca="1" si="8">I40-I47</f>
        <v>0</v>
      </c>
    </row>
    <row r="49" spans="1:9">
      <c r="A49" s="442" t="s">
        <v>434</v>
      </c>
      <c r="B49" s="443"/>
      <c r="C49" s="443">
        <f ca="1">B50</f>
        <v>0</v>
      </c>
      <c r="D49" s="443">
        <f t="shared" ref="D49:I49" ca="1" si="9">C50</f>
        <v>0</v>
      </c>
      <c r="E49" s="443">
        <f t="shared" ca="1" si="9"/>
        <v>0</v>
      </c>
      <c r="F49" s="443">
        <f t="shared" ca="1" si="9"/>
        <v>0</v>
      </c>
      <c r="G49" s="443">
        <f t="shared" ca="1" si="9"/>
        <v>0</v>
      </c>
      <c r="H49" s="443">
        <f t="shared" ca="1" si="9"/>
        <v>0</v>
      </c>
      <c r="I49" s="443">
        <f t="shared" ca="1" si="9"/>
        <v>0</v>
      </c>
    </row>
    <row r="50" spans="1:9">
      <c r="A50" s="442" t="s">
        <v>435</v>
      </c>
      <c r="B50" s="443">
        <f ca="1">B48+B49</f>
        <v>0</v>
      </c>
      <c r="C50" s="443">
        <f ca="1">C48+C49</f>
        <v>0</v>
      </c>
      <c r="D50" s="443">
        <f t="shared" ref="D50:I50" ca="1" si="10">D48+D49</f>
        <v>0</v>
      </c>
      <c r="E50" s="443">
        <f t="shared" ca="1" si="10"/>
        <v>0</v>
      </c>
      <c r="F50" s="443">
        <f t="shared" ca="1" si="10"/>
        <v>0</v>
      </c>
      <c r="G50" s="443">
        <f t="shared" ca="1" si="10"/>
        <v>0</v>
      </c>
      <c r="H50" s="443">
        <f t="shared" ca="1" si="10"/>
        <v>0</v>
      </c>
      <c r="I50" s="443">
        <f t="shared" ca="1" si="10"/>
        <v>0</v>
      </c>
    </row>
    <row r="51" spans="1:9">
      <c r="A51" s="17"/>
      <c r="B51" s="17"/>
      <c r="C51" s="17"/>
      <c r="D51" s="17"/>
      <c r="E51" s="17"/>
      <c r="F51" s="17"/>
      <c r="G51" s="17"/>
      <c r="H51" s="17"/>
    </row>
    <row r="52" spans="1:9">
      <c r="I52" s="17">
        <v>8</v>
      </c>
    </row>
  </sheetData>
  <sheetProtection password="B094" sheet="1" objects="1" scenarios="1"/>
  <mergeCells count="23">
    <mergeCell ref="B29:I30"/>
    <mergeCell ref="B26:I27"/>
    <mergeCell ref="C20:D20"/>
    <mergeCell ref="E20:F20"/>
    <mergeCell ref="G20:H20"/>
    <mergeCell ref="C21:D21"/>
    <mergeCell ref="E21:F21"/>
    <mergeCell ref="G21:H21"/>
    <mergeCell ref="A19:B19"/>
    <mergeCell ref="B2:I4"/>
    <mergeCell ref="C16:D16"/>
    <mergeCell ref="E16:F16"/>
    <mergeCell ref="G16:H16"/>
    <mergeCell ref="A17:B17"/>
    <mergeCell ref="C17:D17"/>
    <mergeCell ref="E17:F17"/>
    <mergeCell ref="G17:H17"/>
    <mergeCell ref="C18:D18"/>
    <mergeCell ref="E18:F18"/>
    <mergeCell ref="G18:H18"/>
    <mergeCell ref="C19:D19"/>
    <mergeCell ref="E19:F19"/>
    <mergeCell ref="G19:H19"/>
  </mergeCells>
  <conditionalFormatting sqref="G22">
    <cfRule type="iconSet" priority="1">
      <iconSet iconSet="3Symbols" showValue="0">
        <cfvo type="percent" val="0"/>
        <cfvo type="num" val="25"/>
        <cfvo type="num" val="30"/>
      </iconSet>
    </cfRule>
  </conditionalFormatting>
  <conditionalFormatting sqref="H22">
    <cfRule type="dataBar" priority="7">
      <dataBar showValue="0">
        <cfvo type="num" val="0"/>
        <cfvo type="num" val="100"/>
        <color rgb="FF63C384"/>
      </dataBar>
      <extLst>
        <ext xmlns:x14="http://schemas.microsoft.com/office/spreadsheetml/2009/9/main" uri="{B025F937-C7B1-47D3-B67F-A62EFF666E3E}">
          <x14:id>{C5822331-5F52-41B0-94A6-5D66FE5A197F}</x14:id>
        </ext>
      </extLst>
    </cfRule>
  </conditionalFormatting>
  <conditionalFormatting sqref="H23">
    <cfRule type="dataBar" priority="6">
      <dataBar showValue="0">
        <cfvo type="num" val="0"/>
        <cfvo type="num" val="4"/>
        <color rgb="FFFF555A"/>
      </dataBar>
      <extLst>
        <ext xmlns:x14="http://schemas.microsoft.com/office/spreadsheetml/2009/9/main" uri="{B025F937-C7B1-47D3-B67F-A62EFF666E3E}">
          <x14:id>{36CA285B-DE24-4BCF-AF53-7EDCAAC1835B}</x14:id>
        </ext>
      </extLst>
    </cfRule>
  </conditionalFormatting>
  <conditionalFormatting sqref="G23">
    <cfRule type="iconSet" priority="5">
      <iconSet iconSet="3Symbols" showValue="0" reverse="1">
        <cfvo type="percent" val="0"/>
        <cfvo type="num" val="360"/>
        <cfvo type="num" val="400"/>
      </iconSet>
    </cfRule>
  </conditionalFormatting>
  <conditionalFormatting sqref="A26">
    <cfRule type="iconSet" priority="4">
      <iconSet iconSet="3Symbols" showValue="0">
        <cfvo type="percent" val="0"/>
        <cfvo type="num" val="0"/>
        <cfvo type="num" val="1"/>
      </iconSet>
    </cfRule>
  </conditionalFormatting>
  <conditionalFormatting sqref="A28:A29">
    <cfRule type="iconSet" priority="9">
      <iconSet iconSet="3Symbols" showValue="0">
        <cfvo type="percent" val="0"/>
        <cfvo type="num" val="0"/>
        <cfvo type="num" val="1"/>
      </iconSet>
    </cfRule>
  </conditionalFormatting>
  <conditionalFormatting sqref="A26">
    <cfRule type="iconSet" priority="10">
      <iconSet iconSet="4RedToBlack" showValue="0">
        <cfvo type="percent" val="0"/>
        <cfvo type="num" val="-1"/>
        <cfvo type="num" val="1"/>
        <cfvo type="num" val="10"/>
      </iconSet>
    </cfRule>
  </conditionalFormatting>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C5822331-5F52-41B0-94A6-5D66FE5A197F}">
            <x14:dataBar minLength="0" maxLength="100" border="1" negativeBarBorderColorSameAsPositive="0">
              <x14:cfvo type="num">
                <xm:f>0</xm:f>
              </x14:cfvo>
              <x14:cfvo type="num">
                <xm:f>100</xm:f>
              </x14:cfvo>
              <x14:borderColor rgb="FF63C384"/>
              <x14:negativeFillColor rgb="FFFF0000"/>
              <x14:negativeBorderColor rgb="FFFF0000"/>
              <x14:axisColor rgb="FF000000"/>
            </x14:dataBar>
          </x14:cfRule>
          <xm:sqref>H22</xm:sqref>
        </x14:conditionalFormatting>
        <x14:conditionalFormatting xmlns:xm="http://schemas.microsoft.com/office/excel/2006/main">
          <x14:cfRule type="dataBar" id="{36CA285B-DE24-4BCF-AF53-7EDCAAC1835B}">
            <x14:dataBar minLength="0" maxLength="100" border="1" negativeBarBorderColorSameAsPositive="0">
              <x14:cfvo type="num">
                <xm:f>0</xm:f>
              </x14:cfvo>
              <x14:cfvo type="num">
                <xm:f>4</xm:f>
              </x14:cfvo>
              <x14:borderColor rgb="FFFF555A"/>
              <x14:negativeFillColor rgb="FFFF0000"/>
              <x14:negativeBorderColor rgb="FFFF0000"/>
              <x14:axisColor rgb="FF000000"/>
            </x14:dataBar>
          </x14:cfRule>
          <xm:sqref>H23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54"/>
  <sheetViews>
    <sheetView tabSelected="1" topLeftCell="A10" zoomScale="110" zoomScaleNormal="110" workbookViewId="0">
      <selection activeCell="K56" sqref="K56"/>
    </sheetView>
  </sheetViews>
  <sheetFormatPr baseColWidth="10" defaultRowHeight="15"/>
  <cols>
    <col min="1" max="1" width="8.85546875" customWidth="1"/>
    <col min="3" max="3" width="9.42578125" customWidth="1"/>
    <col min="4" max="4" width="7.42578125" customWidth="1"/>
    <col min="7" max="7" width="9.28515625" customWidth="1"/>
  </cols>
  <sheetData>
    <row r="1" spans="1:9">
      <c r="A1" s="353"/>
      <c r="B1" s="353"/>
      <c r="C1" s="353"/>
      <c r="D1" s="353"/>
      <c r="E1" s="353"/>
      <c r="F1" s="353"/>
      <c r="G1" s="353"/>
      <c r="H1" s="353"/>
      <c r="I1" s="353"/>
    </row>
    <row r="2" spans="1:9">
      <c r="A2" s="353"/>
      <c r="B2" s="955" t="s">
        <v>689</v>
      </c>
      <c r="C2" s="955"/>
      <c r="D2" s="955"/>
      <c r="E2" s="955"/>
      <c r="F2" s="955"/>
      <c r="G2" s="955"/>
      <c r="H2" s="955"/>
      <c r="I2" s="955"/>
    </row>
    <row r="3" spans="1:9">
      <c r="A3" s="353"/>
      <c r="B3" s="955"/>
      <c r="C3" s="955"/>
      <c r="D3" s="955"/>
      <c r="E3" s="955"/>
      <c r="F3" s="955"/>
      <c r="G3" s="955"/>
      <c r="H3" s="955"/>
      <c r="I3" s="955"/>
    </row>
    <row r="4" spans="1:9">
      <c r="A4" s="19"/>
      <c r="B4" s="955"/>
      <c r="C4" s="955"/>
      <c r="D4" s="955"/>
      <c r="E4" s="955"/>
      <c r="F4" s="955"/>
      <c r="G4" s="955"/>
      <c r="H4" s="955"/>
      <c r="I4" s="955"/>
    </row>
    <row r="6" spans="1:9">
      <c r="A6" s="19"/>
      <c r="B6" s="19"/>
      <c r="C6" s="19"/>
      <c r="D6" s="19"/>
      <c r="E6" s="19"/>
      <c r="F6" s="19"/>
      <c r="G6" s="19"/>
      <c r="H6" s="19"/>
      <c r="I6" s="19"/>
    </row>
    <row r="7" spans="1:9">
      <c r="A7" s="19"/>
      <c r="B7" s="42"/>
      <c r="C7" s="42"/>
      <c r="D7" s="42"/>
      <c r="E7" s="42"/>
      <c r="F7" s="42"/>
      <c r="G7" s="42"/>
      <c r="H7" s="42"/>
      <c r="I7" s="42"/>
    </row>
    <row r="8" spans="1:9">
      <c r="A8" s="19"/>
      <c r="B8" s="42"/>
      <c r="C8" s="42"/>
      <c r="D8" s="42"/>
      <c r="E8" s="42"/>
      <c r="F8" s="42"/>
      <c r="G8" s="42"/>
      <c r="H8" s="42"/>
      <c r="I8" s="42"/>
    </row>
    <row r="9" spans="1:9">
      <c r="A9" s="19"/>
      <c r="B9" s="42"/>
      <c r="C9" s="42"/>
      <c r="D9" s="1034" t="s">
        <v>522</v>
      </c>
      <c r="E9" s="1034"/>
      <c r="F9" s="1034"/>
      <c r="G9" s="1034" t="s">
        <v>523</v>
      </c>
      <c r="H9" s="1034"/>
      <c r="I9" s="1034"/>
    </row>
    <row r="10" spans="1:9">
      <c r="A10" s="1034" t="s">
        <v>524</v>
      </c>
      <c r="B10" s="1034"/>
      <c r="C10" s="1035"/>
      <c r="D10" s="1006">
        <f ca="1">IFERROR('BO Fin'!B52,0)</f>
        <v>0</v>
      </c>
      <c r="E10" s="1036"/>
      <c r="F10" s="1036"/>
      <c r="G10" s="1036"/>
      <c r="H10" s="1036"/>
      <c r="I10" s="1037"/>
    </row>
    <row r="11" spans="1:9">
      <c r="A11" s="1034"/>
      <c r="B11" s="1034"/>
      <c r="C11" s="1035"/>
      <c r="D11" s="1038">
        <f ca="1">IFERROR(D10,0)</f>
        <v>0</v>
      </c>
      <c r="E11" s="1039"/>
      <c r="F11" s="1039"/>
      <c r="G11" s="1039"/>
      <c r="H11" s="1039"/>
      <c r="I11" s="1040"/>
    </row>
    <row r="12" spans="1:9">
      <c r="A12" s="1041" t="s">
        <v>525</v>
      </c>
      <c r="B12" s="1041"/>
      <c r="C12" s="996"/>
      <c r="D12" s="1006">
        <f>IFERROR('BO Cout Fin'!B11,0)</f>
        <v>0</v>
      </c>
      <c r="E12" s="1036"/>
      <c r="F12" s="1036"/>
      <c r="G12" s="1036"/>
      <c r="H12" s="1036"/>
      <c r="I12" s="1037"/>
    </row>
    <row r="13" spans="1:9">
      <c r="A13" s="1041"/>
      <c r="B13" s="1041"/>
      <c r="C13" s="996"/>
      <c r="D13" s="1038">
        <f>D12</f>
        <v>0</v>
      </c>
      <c r="E13" s="1042"/>
      <c r="F13" s="1042"/>
      <c r="G13" s="1042"/>
      <c r="H13" s="1042"/>
      <c r="I13" s="994"/>
    </row>
    <row r="14" spans="1:9">
      <c r="A14" s="1041" t="s">
        <v>526</v>
      </c>
      <c r="B14" s="1041"/>
      <c r="C14" s="996"/>
      <c r="D14" s="1043">
        <f>'BO Cout Fin'!C29</f>
        <v>0</v>
      </c>
      <c r="E14" s="1036">
        <f>'BO Cout Fin'!C29</f>
        <v>0</v>
      </c>
      <c r="F14" s="1037"/>
      <c r="G14" s="1043">
        <f>'BO Cout Fin'!C30</f>
        <v>0</v>
      </c>
      <c r="H14" s="1036">
        <f>'BO Cout Fin'!C30</f>
        <v>0</v>
      </c>
      <c r="I14" s="1037"/>
    </row>
    <row r="15" spans="1:9">
      <c r="A15" s="1041"/>
      <c r="B15" s="1041"/>
      <c r="C15" s="996"/>
      <c r="D15" s="1044"/>
      <c r="E15" s="1039"/>
      <c r="F15" s="1040"/>
      <c r="G15" s="1044"/>
      <c r="H15" s="1039"/>
      <c r="I15" s="1040"/>
    </row>
    <row r="16" spans="1:9">
      <c r="A16" s="1041" t="s">
        <v>688</v>
      </c>
      <c r="B16" s="1041"/>
      <c r="C16" s="996"/>
      <c r="D16" s="1051">
        <f ca="1">E16</f>
        <v>0</v>
      </c>
      <c r="E16" s="1053">
        <f ca="1">D10+D12+E14</f>
        <v>0</v>
      </c>
      <c r="F16" s="1054"/>
      <c r="G16" s="1051">
        <f ca="1">H16</f>
        <v>0</v>
      </c>
      <c r="H16" s="1053">
        <f ca="1">D10+D12+H14</f>
        <v>0</v>
      </c>
      <c r="I16" s="1054"/>
    </row>
    <row r="17" spans="1:9">
      <c r="A17" s="1041"/>
      <c r="B17" s="1041"/>
      <c r="C17" s="996"/>
      <c r="D17" s="1052"/>
      <c r="E17" s="1055"/>
      <c r="F17" s="1054"/>
      <c r="G17" s="1052"/>
      <c r="H17" s="1055"/>
      <c r="I17" s="1054"/>
    </row>
    <row r="18" spans="1:9">
      <c r="A18" s="1041" t="s">
        <v>691</v>
      </c>
      <c r="B18" s="1041"/>
      <c r="C18" s="996"/>
      <c r="D18" s="1045">
        <f ca="1">E18</f>
        <v>0</v>
      </c>
      <c r="E18" s="1047">
        <f ca="1">IFERROR((E16/('BO Cout Fin'!T26+'BO Fin'!B61))+1,0)</f>
        <v>0</v>
      </c>
      <c r="F18" s="1048"/>
      <c r="G18" s="1045">
        <f ca="1">H18</f>
        <v>0</v>
      </c>
      <c r="H18" s="1047">
        <f ca="1">IFERROR((H16/('BO Cout Fin'!T26+'BO Fin'!B61))+1,0)</f>
        <v>0</v>
      </c>
      <c r="I18" s="1048"/>
    </row>
    <row r="19" spans="1:9">
      <c r="A19" s="1041"/>
      <c r="B19" s="1041"/>
      <c r="C19" s="996"/>
      <c r="D19" s="1046"/>
      <c r="E19" s="1049"/>
      <c r="F19" s="1050"/>
      <c r="G19" s="1046"/>
      <c r="H19" s="1049"/>
      <c r="I19" s="1050"/>
    </row>
    <row r="20" spans="1:9">
      <c r="A20" s="1041" t="s">
        <v>692</v>
      </c>
      <c r="B20" s="1041"/>
      <c r="C20" s="996"/>
      <c r="D20" s="1058">
        <f ca="1">'BO Cout Fin'!D48</f>
        <v>0</v>
      </c>
      <c r="E20" s="1059" t="str">
        <f ca="1">ROUND('BO Cout Fin'!D49,0)&amp;" mois"</f>
        <v>0 mois</v>
      </c>
      <c r="F20" s="1054"/>
      <c r="G20" s="1058">
        <f ca="1">'BO Cout Fin'!D66</f>
        <v>0</v>
      </c>
      <c r="H20" s="1059" t="str">
        <f ca="1">ROUND('BO Cout Fin'!D67,0)&amp;" mois"</f>
        <v>0 mois</v>
      </c>
      <c r="I20" s="1054"/>
    </row>
    <row r="21" spans="1:9">
      <c r="A21" s="1041"/>
      <c r="B21" s="1041"/>
      <c r="C21" s="996"/>
      <c r="D21" s="1052"/>
      <c r="E21" s="1055"/>
      <c r="F21" s="1054"/>
      <c r="G21" s="1052"/>
      <c r="H21" s="1055"/>
      <c r="I21" s="1054"/>
    </row>
    <row r="22" spans="1:9">
      <c r="A22" s="1041" t="s">
        <v>693</v>
      </c>
      <c r="B22" s="1041"/>
      <c r="C22" s="996"/>
      <c r="D22" s="1056">
        <f>'BO Fin'!I78</f>
        <v>0</v>
      </c>
      <c r="E22" s="1057">
        <f>IFERROR('BO Cout Fin'!T28,0)</f>
        <v>0</v>
      </c>
      <c r="F22" s="992"/>
      <c r="G22" s="1056">
        <f>D22</f>
        <v>0</v>
      </c>
      <c r="H22" s="1057">
        <f>IFERROR('BO Cout Fin'!T42,0)</f>
        <v>0</v>
      </c>
      <c r="I22" s="992"/>
    </row>
    <row r="23" spans="1:9">
      <c r="A23" s="1041"/>
      <c r="B23" s="1041"/>
      <c r="C23" s="996"/>
      <c r="D23" s="993"/>
      <c r="E23" s="1042"/>
      <c r="F23" s="994"/>
      <c r="G23" s="993"/>
      <c r="H23" s="1042"/>
      <c r="I23" s="994"/>
    </row>
    <row r="24" spans="1:9">
      <c r="A24" s="1041" t="s">
        <v>696</v>
      </c>
      <c r="B24" s="1041"/>
      <c r="C24" s="996"/>
      <c r="D24" s="1061">
        <f>E24*100</f>
        <v>0</v>
      </c>
      <c r="E24" s="1062">
        <f>IFERROR('BO Cout Fin'!T30,0)</f>
        <v>0</v>
      </c>
      <c r="F24" s="1054"/>
      <c r="G24" s="1061">
        <f>H24*100</f>
        <v>0</v>
      </c>
      <c r="H24" s="1062">
        <f>IFERROR('BO Cout Fin'!T44,0)</f>
        <v>0</v>
      </c>
      <c r="I24" s="1054"/>
    </row>
    <row r="25" spans="1:9">
      <c r="A25" s="1041"/>
      <c r="B25" s="1041"/>
      <c r="C25" s="996"/>
      <c r="D25" s="1052"/>
      <c r="E25" s="1055"/>
      <c r="F25" s="1054"/>
      <c r="G25" s="1052"/>
      <c r="H25" s="1055"/>
      <c r="I25" s="1054"/>
    </row>
    <row r="26" spans="1:9">
      <c r="A26" s="1041" t="s">
        <v>697</v>
      </c>
      <c r="B26" s="1041"/>
      <c r="C26" s="996"/>
      <c r="D26" s="1045">
        <f>E26</f>
        <v>0</v>
      </c>
      <c r="E26" s="1063">
        <f>ROUND('BO Cout Fin'!T31,4)</f>
        <v>0</v>
      </c>
      <c r="F26" s="1064"/>
      <c r="G26" s="1045">
        <f>H26</f>
        <v>0</v>
      </c>
      <c r="H26" s="1063">
        <f>ROUND('BO Cout Fin'!T45,4)</f>
        <v>0</v>
      </c>
      <c r="I26" s="1064"/>
    </row>
    <row r="27" spans="1:9">
      <c r="A27" s="1041"/>
      <c r="B27" s="1041"/>
      <c r="C27" s="996"/>
      <c r="D27" s="993"/>
      <c r="E27" s="1065"/>
      <c r="F27" s="1066"/>
      <c r="G27" s="993"/>
      <c r="H27" s="1065"/>
      <c r="I27" s="1066"/>
    </row>
    <row r="28" spans="1:9">
      <c r="A28" s="19"/>
      <c r="B28" s="19"/>
      <c r="C28" s="19"/>
      <c r="D28" s="19"/>
      <c r="E28" s="19"/>
      <c r="F28" s="19"/>
      <c r="G28" s="19"/>
      <c r="H28" s="19"/>
      <c r="I28" s="19"/>
    </row>
    <row r="29" spans="1:9">
      <c r="A29" s="19" t="s">
        <v>527</v>
      </c>
      <c r="B29" s="19"/>
      <c r="C29" s="19"/>
      <c r="D29" s="19"/>
      <c r="E29" s="19"/>
      <c r="F29" s="19"/>
      <c r="G29" s="19"/>
      <c r="H29" s="19"/>
      <c r="I29" s="19"/>
    </row>
    <row r="30" spans="1:9">
      <c r="A30" s="19" t="s">
        <v>528</v>
      </c>
      <c r="B30" s="19"/>
      <c r="C30" s="19"/>
      <c r="D30" s="19"/>
      <c r="E30" s="19"/>
      <c r="F30" s="19"/>
      <c r="G30" s="19"/>
      <c r="H30" s="19"/>
      <c r="I30" s="19"/>
    </row>
    <row r="31" spans="1:9">
      <c r="A31" s="1031" t="s">
        <v>606</v>
      </c>
      <c r="B31" s="1033" t="str">
        <f ca="1">"C'est avec le financement "&amp;IF(E16&gt;H16,D9,G9)&amp;" qui rend le projet le plus rentable."</f>
        <v>C'est avec le financement AVEC option d'achat qui rend le projet le plus rentable.</v>
      </c>
      <c r="C31" s="1033"/>
      <c r="D31" s="1033"/>
      <c r="E31" s="1033"/>
      <c r="F31" s="1033"/>
      <c r="G31" s="1033"/>
      <c r="H31" s="1033"/>
      <c r="I31" s="1033"/>
    </row>
    <row r="32" spans="1:9">
      <c r="A32" s="1031"/>
      <c r="B32" s="1033"/>
      <c r="C32" s="1033"/>
      <c r="D32" s="1033"/>
      <c r="E32" s="1033"/>
      <c r="F32" s="1033"/>
      <c r="G32" s="1033"/>
      <c r="H32" s="1033"/>
      <c r="I32" s="1033"/>
    </row>
    <row r="33" spans="1:9">
      <c r="A33" s="1032" t="s">
        <v>607</v>
      </c>
      <c r="B33" s="1033" t="str">
        <f>BO!A151</f>
        <v>Le financement par crédit-bail qu'il soit avec ou sans l'option d'achat améliore la rentabilité du projet.</v>
      </c>
      <c r="C33" s="1033"/>
      <c r="D33" s="1033"/>
      <c r="E33" s="1033"/>
      <c r="F33" s="1033"/>
      <c r="G33" s="1033"/>
      <c r="H33" s="1033"/>
      <c r="I33" s="1033"/>
    </row>
    <row r="34" spans="1:9">
      <c r="A34" s="1032"/>
      <c r="B34" s="1033"/>
      <c r="C34" s="1033"/>
      <c r="D34" s="1033"/>
      <c r="E34" s="1033"/>
      <c r="F34" s="1033"/>
      <c r="G34" s="1033"/>
      <c r="H34" s="1033"/>
      <c r="I34" s="1033"/>
    </row>
    <row r="35" spans="1:9">
      <c r="A35" s="19" t="s">
        <v>529</v>
      </c>
      <c r="B35" s="19"/>
      <c r="C35" s="19"/>
      <c r="D35" s="19"/>
      <c r="E35" s="19"/>
      <c r="F35" s="19"/>
      <c r="G35" s="19"/>
      <c r="H35" s="19"/>
      <c r="I35" s="19"/>
    </row>
    <row r="36" spans="1:9">
      <c r="A36" s="1031" t="s">
        <v>609</v>
      </c>
      <c r="B36" s="892" t="str">
        <f ca="1">BO!A160</f>
        <v>Les sommes investies sont récupérées au bout de 0 mois , peu importe que le financement par crédit-bail soit avec ou sans option d'achat.</v>
      </c>
      <c r="C36" s="892"/>
      <c r="D36" s="892"/>
      <c r="E36" s="892"/>
      <c r="F36" s="892"/>
      <c r="G36" s="892"/>
      <c r="H36" s="892"/>
      <c r="I36" s="892"/>
    </row>
    <row r="37" spans="1:9">
      <c r="A37" s="1031"/>
      <c r="B37" s="892"/>
      <c r="C37" s="892"/>
      <c r="D37" s="892"/>
      <c r="E37" s="892"/>
      <c r="F37" s="892"/>
      <c r="G37" s="892"/>
      <c r="H37" s="892"/>
      <c r="I37" s="892"/>
    </row>
    <row r="38" spans="1:9">
      <c r="A38" s="19" t="s">
        <v>530</v>
      </c>
      <c r="B38" s="19"/>
      <c r="C38" s="19"/>
      <c r="D38" s="19"/>
      <c r="E38" s="19"/>
      <c r="F38" s="19"/>
      <c r="G38" s="19"/>
      <c r="H38" s="19"/>
      <c r="I38" s="19"/>
    </row>
    <row r="39" spans="1:9" ht="15" customHeight="1">
      <c r="A39" s="256" t="s">
        <v>694</v>
      </c>
      <c r="B39" s="908" t="str">
        <f>"Le seuil de rentabilité est le plus bas avec le financement "&amp;IF(E22&lt;H22,D9,G9)&amp;"."</f>
        <v>Le seuil de rentabilité est le plus bas avec le financement AVEC option d'achat.</v>
      </c>
      <c r="C39" s="908"/>
      <c r="D39" s="908"/>
      <c r="E39" s="908"/>
      <c r="F39" s="908"/>
      <c r="G39" s="908"/>
      <c r="H39" s="908"/>
      <c r="I39" s="908"/>
    </row>
    <row r="40" spans="1:9">
      <c r="A40" s="1031" t="s">
        <v>695</v>
      </c>
      <c r="B40" s="1033" t="str">
        <f>BO!A169</f>
        <v>Le financement du crédit-bail qu'il soit avec ou sans option d'achat offre le même niveau de risque.</v>
      </c>
      <c r="C40" s="1033"/>
      <c r="D40" s="1033"/>
      <c r="E40" s="1033"/>
      <c r="F40" s="1033"/>
      <c r="G40" s="1033"/>
      <c r="H40" s="1033"/>
      <c r="I40" s="1033"/>
    </row>
    <row r="41" spans="1:9">
      <c r="A41" s="1031"/>
      <c r="B41" s="1033"/>
      <c r="C41" s="1033"/>
      <c r="D41" s="1033"/>
      <c r="E41" s="1033"/>
      <c r="F41" s="1033"/>
      <c r="G41" s="1033"/>
      <c r="H41" s="1033"/>
      <c r="I41" s="1033"/>
    </row>
    <row r="42" spans="1:9">
      <c r="A42" s="19" t="s">
        <v>531</v>
      </c>
      <c r="B42" s="42"/>
      <c r="C42" s="42"/>
      <c r="D42" s="42"/>
      <c r="E42" s="42"/>
      <c r="F42" s="42"/>
      <c r="G42" s="42"/>
      <c r="H42" s="42"/>
      <c r="I42" s="42"/>
    </row>
    <row r="43" spans="1:9">
      <c r="A43" s="42"/>
      <c r="B43" s="263" t="s">
        <v>532</v>
      </c>
      <c r="C43" s="263"/>
      <c r="D43" s="263"/>
      <c r="E43" s="263"/>
      <c r="F43" s="263"/>
      <c r="G43" s="263"/>
      <c r="H43" s="263"/>
      <c r="I43" s="263"/>
    </row>
    <row r="44" spans="1:9" ht="15" customHeight="1">
      <c r="A44" s="42"/>
      <c r="B44" s="1033" t="s">
        <v>698</v>
      </c>
      <c r="C44" s="1033"/>
      <c r="D44" s="1033"/>
      <c r="E44" s="1033"/>
      <c r="F44" s="1033"/>
      <c r="G44" s="1033"/>
      <c r="H44" s="1033"/>
      <c r="I44" s="1033"/>
    </row>
    <row r="45" spans="1:9">
      <c r="A45" s="42"/>
      <c r="B45" s="1033"/>
      <c r="C45" s="1033"/>
      <c r="D45" s="1033"/>
      <c r="E45" s="1033"/>
      <c r="F45" s="1033"/>
      <c r="G45" s="1033"/>
      <c r="H45" s="1033"/>
      <c r="I45" s="1033"/>
    </row>
    <row r="46" spans="1:9">
      <c r="A46" s="42"/>
      <c r="B46" s="1033"/>
      <c r="C46" s="1033"/>
      <c r="D46" s="1033"/>
      <c r="E46" s="1033"/>
      <c r="F46" s="1033"/>
      <c r="G46" s="1033"/>
      <c r="H46" s="1033"/>
      <c r="I46" s="1033"/>
    </row>
    <row r="47" spans="1:9">
      <c r="A47" s="42"/>
      <c r="B47" s="1033"/>
      <c r="C47" s="1033"/>
      <c r="D47" s="1033"/>
      <c r="E47" s="1033"/>
      <c r="F47" s="1033"/>
      <c r="G47" s="1033"/>
      <c r="H47" s="1033"/>
      <c r="I47" s="1033"/>
    </row>
    <row r="48" spans="1:9">
      <c r="A48" s="19" t="s">
        <v>533</v>
      </c>
      <c r="B48" s="19"/>
      <c r="C48" s="19"/>
      <c r="D48" s="19"/>
      <c r="E48" s="19"/>
      <c r="F48" s="19"/>
      <c r="G48" s="19"/>
      <c r="H48" s="19"/>
      <c r="I48" s="19"/>
    </row>
    <row r="49" spans="1:9">
      <c r="A49" s="19"/>
      <c r="B49" s="1060" t="s">
        <v>534</v>
      </c>
      <c r="C49" s="1060"/>
      <c r="D49" s="1060"/>
      <c r="E49" s="1060"/>
      <c r="F49" s="1060"/>
      <c r="G49" s="1060"/>
      <c r="H49" s="1060"/>
      <c r="I49" s="1060"/>
    </row>
    <row r="50" spans="1:9">
      <c r="B50" s="1060"/>
      <c r="C50" s="1060"/>
      <c r="D50" s="1060"/>
      <c r="E50" s="1060"/>
      <c r="F50" s="1060"/>
      <c r="G50" s="1060"/>
      <c r="H50" s="1060"/>
      <c r="I50" s="1060"/>
    </row>
    <row r="51" spans="1:9">
      <c r="A51" s="358"/>
      <c r="B51" s="358"/>
      <c r="C51" s="262"/>
      <c r="D51" s="262"/>
      <c r="E51" s="262"/>
    </row>
    <row r="52" spans="1:9">
      <c r="C52" s="262"/>
      <c r="D52" s="262"/>
      <c r="E52" s="262"/>
      <c r="I52">
        <v>9</v>
      </c>
    </row>
    <row r="53" spans="1:9">
      <c r="C53" s="262"/>
      <c r="D53" s="262"/>
      <c r="E53" s="262"/>
    </row>
    <row r="54" spans="1:9">
      <c r="A54" s="262"/>
    </row>
  </sheetData>
  <sheetProtection password="B094" sheet="1" objects="1" scenarios="1"/>
  <mergeCells count="55">
    <mergeCell ref="B49:I50"/>
    <mergeCell ref="A24:C25"/>
    <mergeCell ref="D24:D25"/>
    <mergeCell ref="E24:F25"/>
    <mergeCell ref="G24:G25"/>
    <mergeCell ref="H24:I25"/>
    <mergeCell ref="A26:C27"/>
    <mergeCell ref="D26:D27"/>
    <mergeCell ref="E26:F27"/>
    <mergeCell ref="G26:G27"/>
    <mergeCell ref="H26:I27"/>
    <mergeCell ref="B31:I32"/>
    <mergeCell ref="B33:I34"/>
    <mergeCell ref="B36:I37"/>
    <mergeCell ref="B40:I41"/>
    <mergeCell ref="A31:A32"/>
    <mergeCell ref="A20:C21"/>
    <mergeCell ref="D20:D21"/>
    <mergeCell ref="E20:F21"/>
    <mergeCell ref="G20:G21"/>
    <mergeCell ref="H20:I21"/>
    <mergeCell ref="A22:C23"/>
    <mergeCell ref="D22:D23"/>
    <mergeCell ref="E22:F23"/>
    <mergeCell ref="G22:G23"/>
    <mergeCell ref="H22:I23"/>
    <mergeCell ref="A16:C17"/>
    <mergeCell ref="D16:D17"/>
    <mergeCell ref="E16:F17"/>
    <mergeCell ref="G16:G17"/>
    <mergeCell ref="H16:I17"/>
    <mergeCell ref="A18:C19"/>
    <mergeCell ref="D18:D19"/>
    <mergeCell ref="E18:F19"/>
    <mergeCell ref="G18:G19"/>
    <mergeCell ref="H18:I19"/>
    <mergeCell ref="A12:C13"/>
    <mergeCell ref="D12:I12"/>
    <mergeCell ref="D13:I13"/>
    <mergeCell ref="A14:C15"/>
    <mergeCell ref="D14:D15"/>
    <mergeCell ref="E14:F15"/>
    <mergeCell ref="G14:G15"/>
    <mergeCell ref="H14:I15"/>
    <mergeCell ref="B2:I4"/>
    <mergeCell ref="D9:F9"/>
    <mergeCell ref="G9:I9"/>
    <mergeCell ref="A10:C11"/>
    <mergeCell ref="D10:I10"/>
    <mergeCell ref="D11:I11"/>
    <mergeCell ref="A36:A37"/>
    <mergeCell ref="A33:A34"/>
    <mergeCell ref="A40:A41"/>
    <mergeCell ref="B44:I47"/>
    <mergeCell ref="B39:I39"/>
  </mergeCells>
  <conditionalFormatting sqref="D20:D21 G20">
    <cfRule type="iconSet" priority="7">
      <iconSet iconSet="3Symbols" showValue="0" reverse="1">
        <cfvo type="percent" val="0"/>
        <cfvo type="num" val="80"/>
        <cfvo type="num" val="100"/>
      </iconSet>
    </cfRule>
  </conditionalFormatting>
  <conditionalFormatting sqref="D24:D25 G24">
    <cfRule type="iconSet" priority="5">
      <iconSet iconSet="3Symbols" showValue="0">
        <cfvo type="percent" val="0"/>
        <cfvo type="num" val="0"/>
        <cfvo type="num" val="15"/>
      </iconSet>
    </cfRule>
  </conditionalFormatting>
  <conditionalFormatting sqref="D26:D27 G26">
    <cfRule type="iconSet" priority="4">
      <iconSet iconSet="3Symbols" showValue="0" reverse="1">
        <cfvo type="percent" val="0"/>
        <cfvo type="num" val="1" gte="0"/>
        <cfvo type="num" val="2"/>
      </iconSet>
    </cfRule>
  </conditionalFormatting>
  <conditionalFormatting sqref="D22">
    <cfRule type="iconSet" priority="6">
      <iconSet iconSet="3Symbols" showValue="0">
        <cfvo type="percent" val="0"/>
        <cfvo type="formula" val="$E$22"/>
        <cfvo type="formula" val="$E$22+1" gte="0"/>
      </iconSet>
    </cfRule>
  </conditionalFormatting>
  <conditionalFormatting sqref="D13:I13 D14 G14">
    <cfRule type="iconSet" priority="3">
      <iconSet iconSet="3Symbols" showValue="0">
        <cfvo type="percent" val="0"/>
        <cfvo type="num" val="0"/>
        <cfvo type="num" val="1"/>
      </iconSet>
    </cfRule>
  </conditionalFormatting>
  <conditionalFormatting sqref="G22:G23">
    <cfRule type="iconSet" priority="1">
      <iconSet iconSet="3Symbols" showValue="0">
        <cfvo type="percent" val="0"/>
        <cfvo type="formula" val="$H$22"/>
        <cfvo type="formula" val="$H$22+1"/>
      </iconSet>
    </cfRule>
  </conditionalFormatting>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9" id="{1104D6CB-C938-4F5A-9F61-73EC75760ADC}">
            <x14:iconSet iconSet="3Symbols" showValue="0">
              <x14:cfvo type="percent">
                <xm:f>0</xm:f>
              </x14:cfvo>
              <x14:cfvo type="num">
                <xm:f>0</xm:f>
              </x14:cfvo>
              <x14:cfvo type="num">
                <xm:f>'BO Fin'!$G$72</xm:f>
              </x14:cfvo>
            </x14:iconSet>
          </x14:cfRule>
          <xm:sqref>D11 D16 G16</xm:sqref>
        </x14:conditionalFormatting>
        <x14:conditionalFormatting xmlns:xm="http://schemas.microsoft.com/office/excel/2006/main">
          <x14:cfRule type="iconSet" priority="10" id="{2E6C4556-D854-471A-A0E4-652F4B2A70A8}">
            <x14:iconSet iconSet="3Symbols" showValue="0">
              <x14:cfvo type="percent">
                <xm:f>0</xm:f>
              </x14:cfvo>
              <x14:cfvo type="num">
                <xm:f>0</xm:f>
              </x14:cfvo>
              <x14:cfvo type="formula">
                <xm:f>'[CA et besoins prévisionnels.xlsx]Back office'!#REF!</xm:f>
              </x14:cfvo>
            </x14:iconSet>
          </x14:cfRule>
          <xm:sqref>D16:D17 G16</xm:sqref>
        </x14:conditionalFormatting>
        <x14:conditionalFormatting xmlns:xm="http://schemas.microsoft.com/office/excel/2006/main">
          <x14:cfRule type="iconSet" priority="67" id="{90EC5862-D710-4498-A807-CFB302947D1F}">
            <x14:iconSet iconSet="3Symbols" showValue="0">
              <x14:cfvo type="percent">
                <xm:f>0</xm:f>
              </x14:cfvo>
              <x14:cfvo type="num">
                <xm:f>0</xm:f>
              </x14:cfvo>
              <x14:cfvo type="formula">
                <xm:f>Paramètres!$C$7+1</xm:f>
              </x14:cfvo>
            </x14:iconSet>
          </x14:cfRule>
          <xm:sqref>D18:D19 G18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workbookViewId="0">
      <selection activeCell="C12" sqref="C12"/>
    </sheetView>
  </sheetViews>
  <sheetFormatPr baseColWidth="10" defaultRowHeight="15"/>
  <sheetData>
    <row r="1" spans="1:10" ht="15" customHeight="1">
      <c r="A1" s="1"/>
      <c r="B1" s="1"/>
      <c r="C1" s="1"/>
      <c r="D1" s="1"/>
      <c r="E1" s="1"/>
      <c r="F1" s="1"/>
      <c r="G1" s="1"/>
      <c r="H1" s="5"/>
    </row>
    <row r="2" spans="1:10" ht="15" customHeight="1">
      <c r="A2" s="1"/>
      <c r="B2" s="1"/>
      <c r="C2" s="2"/>
      <c r="D2" s="1067" t="s">
        <v>437</v>
      </c>
      <c r="E2" s="1067"/>
      <c r="F2" s="1067"/>
      <c r="G2" s="1067"/>
      <c r="H2" s="5"/>
    </row>
    <row r="3" spans="1:10" ht="15" customHeight="1">
      <c r="A3" s="1"/>
      <c r="B3" s="1"/>
      <c r="C3" s="314"/>
      <c r="D3" s="1067"/>
      <c r="E3" s="1067"/>
      <c r="F3" s="1067"/>
      <c r="G3" s="1067"/>
      <c r="H3" s="5"/>
    </row>
    <row r="4" spans="1:10" ht="15" customHeight="1">
      <c r="C4" s="314"/>
      <c r="D4" s="1067"/>
      <c r="E4" s="1067"/>
      <c r="F4" s="1067"/>
      <c r="G4" s="1067"/>
      <c r="H4" s="5"/>
    </row>
    <row r="5" spans="1:10" ht="15" customHeight="1">
      <c r="C5" s="191"/>
      <c r="D5" s="283"/>
      <c r="E5" s="283"/>
      <c r="F5" s="283"/>
      <c r="G5" s="283"/>
      <c r="H5" s="5"/>
    </row>
    <row r="6" spans="1:10">
      <c r="A6" s="120"/>
      <c r="B6" s="284"/>
      <c r="C6" s="284"/>
      <c r="D6" s="284"/>
      <c r="E6" s="284"/>
      <c r="F6" s="284"/>
      <c r="G6" s="284"/>
    </row>
    <row r="7" spans="1:10" ht="8.25" customHeight="1">
      <c r="A7" s="285"/>
      <c r="B7" s="284"/>
      <c r="C7" s="284"/>
      <c r="D7" s="284"/>
      <c r="E7" s="284"/>
      <c r="F7" s="284"/>
      <c r="G7" s="284"/>
    </row>
    <row r="8" spans="1:10">
      <c r="A8" s="286" t="s">
        <v>438</v>
      </c>
      <c r="B8" s="287"/>
      <c r="C8" s="288"/>
      <c r="D8" s="285"/>
      <c r="E8" s="289"/>
      <c r="F8" s="290"/>
      <c r="G8" s="290"/>
    </row>
    <row r="9" spans="1:10">
      <c r="A9" s="284"/>
      <c r="B9" s="291" t="s">
        <v>439</v>
      </c>
      <c r="C9" s="292">
        <f>Fin!B55</f>
        <v>0</v>
      </c>
      <c r="D9" s="1068" t="s">
        <v>440</v>
      </c>
      <c r="E9" s="1068"/>
      <c r="F9" s="293">
        <f>IFERROR(F18,0)</f>
        <v>0</v>
      </c>
      <c r="G9" s="294"/>
    </row>
    <row r="10" spans="1:10">
      <c r="A10" s="284"/>
      <c r="B10" s="291" t="s">
        <v>441</v>
      </c>
      <c r="C10" s="295">
        <f>Fin!C55</f>
        <v>0</v>
      </c>
      <c r="D10" s="1069" t="s">
        <v>442</v>
      </c>
      <c r="E10" s="1069"/>
      <c r="F10" s="296">
        <f>(1+C10)^(1/12)-1</f>
        <v>0</v>
      </c>
      <c r="G10" s="297"/>
    </row>
    <row r="11" spans="1:10">
      <c r="A11" s="284"/>
      <c r="B11" s="291" t="s">
        <v>443</v>
      </c>
      <c r="C11" s="298">
        <f>Fin!D55</f>
        <v>0</v>
      </c>
      <c r="D11" s="1069" t="s">
        <v>444</v>
      </c>
      <c r="E11" s="1069"/>
      <c r="F11" s="299">
        <f>IFERROR(SUM(D18:D101),à)</f>
        <v>0</v>
      </c>
      <c r="G11" s="284"/>
    </row>
    <row r="12" spans="1:10">
      <c r="A12" s="284"/>
      <c r="B12" s="291" t="s">
        <v>445</v>
      </c>
      <c r="C12" s="300">
        <f>Fin!E55</f>
        <v>0</v>
      </c>
      <c r="D12" s="285"/>
      <c r="E12" s="284"/>
      <c r="F12" s="284"/>
      <c r="G12" s="284"/>
    </row>
    <row r="13" spans="1:10" ht="8.25" customHeight="1">
      <c r="A13" s="285"/>
      <c r="B13" s="301"/>
      <c r="C13" s="302"/>
      <c r="D13" s="285"/>
      <c r="E13" s="285"/>
      <c r="F13" s="301"/>
      <c r="G13" s="303"/>
    </row>
    <row r="14" spans="1:10" ht="18">
      <c r="A14" s="304" t="s">
        <v>446</v>
      </c>
      <c r="B14" s="304"/>
      <c r="C14" s="304"/>
      <c r="D14" s="304"/>
      <c r="E14" s="304"/>
      <c r="F14" s="304"/>
      <c r="G14" s="304"/>
      <c r="J14" s="7"/>
    </row>
    <row r="15" spans="1:10">
      <c r="A15" s="285"/>
      <c r="B15" s="285"/>
      <c r="C15" s="285"/>
      <c r="D15" s="285"/>
      <c r="E15" s="285"/>
      <c r="F15" s="285"/>
      <c r="G15" s="285"/>
      <c r="J15" s="7"/>
    </row>
    <row r="16" spans="1:10">
      <c r="A16" s="1070" t="s">
        <v>447</v>
      </c>
      <c r="B16" s="305" t="s">
        <v>448</v>
      </c>
      <c r="C16" s="305" t="s">
        <v>449</v>
      </c>
      <c r="D16" s="1072" t="s">
        <v>16</v>
      </c>
      <c r="E16" s="1072" t="s">
        <v>450</v>
      </c>
      <c r="F16" s="1072" t="s">
        <v>353</v>
      </c>
      <c r="G16" s="305" t="s">
        <v>16</v>
      </c>
      <c r="J16" s="7"/>
    </row>
    <row r="17" spans="1:10">
      <c r="A17" s="1071"/>
      <c r="B17" s="306" t="s">
        <v>451</v>
      </c>
      <c r="C17" s="306" t="s">
        <v>452</v>
      </c>
      <c r="D17" s="1073"/>
      <c r="E17" s="1073"/>
      <c r="F17" s="1073"/>
      <c r="G17" s="306" t="s">
        <v>453</v>
      </c>
      <c r="J17" s="7"/>
    </row>
    <row r="18" spans="1:10">
      <c r="A18" s="307" t="str">
        <f>IF(J18&lt;=C$11,J18,"")</f>
        <v/>
      </c>
      <c r="B18" s="308">
        <f>IF(ISBLANK(A18),"",C12)</f>
        <v>0</v>
      </c>
      <c r="C18" s="309">
        <f>Montant_prêt</f>
        <v>0</v>
      </c>
      <c r="D18" s="309">
        <f>C18*F10</f>
        <v>0</v>
      </c>
      <c r="E18" s="309">
        <f>IFERROR(F18-D18,0)</f>
        <v>0</v>
      </c>
      <c r="F18" s="309">
        <f>IFERROR((Montant_prêt*F10)/((1-(1+F10)^(-C11))),0)</f>
        <v>0</v>
      </c>
      <c r="G18" s="309">
        <f>D18</f>
        <v>0</v>
      </c>
      <c r="J18" s="7">
        <v>1</v>
      </c>
    </row>
    <row r="19" spans="1:10">
      <c r="A19" s="307" t="str">
        <f t="shared" ref="A19:A82" si="0">IF(J19&lt;=C$11,J19,"")</f>
        <v/>
      </c>
      <c r="B19" s="308" t="str">
        <f>IF(A19&gt;C$11,"",EDATE(B18,1))</f>
        <v/>
      </c>
      <c r="C19" s="309" t="str">
        <f>IF(A19&gt;C$11,"",C18-E18)</f>
        <v/>
      </c>
      <c r="D19" s="309" t="str">
        <f t="shared" ref="D19:D80" si="1">IF(A19&gt;C$11,"",C19*F$10)</f>
        <v/>
      </c>
      <c r="E19" s="309" t="str">
        <f>IF(A19&gt;C$11,"",F19-D19)</f>
        <v/>
      </c>
      <c r="F19" s="309" t="str">
        <f>IF(A19&gt;C$11,"",F$18)</f>
        <v/>
      </c>
      <c r="G19" s="309" t="str">
        <f>IFERROR(G18+D19,"")</f>
        <v/>
      </c>
      <c r="J19" s="7">
        <v>2</v>
      </c>
    </row>
    <row r="20" spans="1:10">
      <c r="A20" s="307" t="str">
        <f t="shared" si="0"/>
        <v/>
      </c>
      <c r="B20" s="308" t="str">
        <f t="shared" ref="B20:B83" si="2">IF(A20&gt;C$11,"",EDATE(B19,1))</f>
        <v/>
      </c>
      <c r="C20" s="309" t="str">
        <f t="shared" ref="C20:C83" si="3">IF(A20&gt;C$11,"",C19-E19)</f>
        <v/>
      </c>
      <c r="D20" s="309" t="str">
        <f t="shared" si="1"/>
        <v/>
      </c>
      <c r="E20" s="309" t="str">
        <f t="shared" ref="E20:E83" si="4">IF(A20&gt;C$11,"",F20-D20)</f>
        <v/>
      </c>
      <c r="F20" s="309" t="str">
        <f t="shared" ref="F20:F83" si="5">IF(A20&gt;C$11,"",F$18)</f>
        <v/>
      </c>
      <c r="G20" s="309" t="str">
        <f t="shared" ref="G20:G83" si="6">IFERROR(G19+D20,"")</f>
        <v/>
      </c>
      <c r="J20" s="7">
        <v>3</v>
      </c>
    </row>
    <row r="21" spans="1:10">
      <c r="A21" s="307" t="str">
        <f t="shared" si="0"/>
        <v/>
      </c>
      <c r="B21" s="308" t="str">
        <f t="shared" si="2"/>
        <v/>
      </c>
      <c r="C21" s="309" t="str">
        <f t="shared" si="3"/>
        <v/>
      </c>
      <c r="D21" s="309" t="str">
        <f t="shared" si="1"/>
        <v/>
      </c>
      <c r="E21" s="309" t="str">
        <f t="shared" si="4"/>
        <v/>
      </c>
      <c r="F21" s="309" t="str">
        <f t="shared" si="5"/>
        <v/>
      </c>
      <c r="G21" s="309" t="str">
        <f t="shared" si="6"/>
        <v/>
      </c>
      <c r="J21" s="7">
        <v>4</v>
      </c>
    </row>
    <row r="22" spans="1:10">
      <c r="A22" s="307" t="str">
        <f t="shared" si="0"/>
        <v/>
      </c>
      <c r="B22" s="308" t="str">
        <f t="shared" si="2"/>
        <v/>
      </c>
      <c r="C22" s="309" t="str">
        <f t="shared" si="3"/>
        <v/>
      </c>
      <c r="D22" s="309" t="str">
        <f t="shared" si="1"/>
        <v/>
      </c>
      <c r="E22" s="309" t="str">
        <f t="shared" si="4"/>
        <v/>
      </c>
      <c r="F22" s="309" t="str">
        <f t="shared" si="5"/>
        <v/>
      </c>
      <c r="G22" s="309" t="str">
        <f t="shared" si="6"/>
        <v/>
      </c>
      <c r="J22" s="7">
        <v>5</v>
      </c>
    </row>
    <row r="23" spans="1:10">
      <c r="A23" s="307" t="str">
        <f t="shared" si="0"/>
        <v/>
      </c>
      <c r="B23" s="308" t="str">
        <f t="shared" si="2"/>
        <v/>
      </c>
      <c r="C23" s="309" t="str">
        <f t="shared" si="3"/>
        <v/>
      </c>
      <c r="D23" s="309" t="str">
        <f t="shared" si="1"/>
        <v/>
      </c>
      <c r="E23" s="309" t="str">
        <f t="shared" si="4"/>
        <v/>
      </c>
      <c r="F23" s="309" t="str">
        <f t="shared" si="5"/>
        <v/>
      </c>
      <c r="G23" s="309" t="str">
        <f t="shared" si="6"/>
        <v/>
      </c>
      <c r="J23" s="7">
        <v>6</v>
      </c>
    </row>
    <row r="24" spans="1:10">
      <c r="A24" s="307" t="str">
        <f t="shared" si="0"/>
        <v/>
      </c>
      <c r="B24" s="308" t="str">
        <f t="shared" si="2"/>
        <v/>
      </c>
      <c r="C24" s="309" t="str">
        <f t="shared" si="3"/>
        <v/>
      </c>
      <c r="D24" s="309" t="str">
        <f t="shared" si="1"/>
        <v/>
      </c>
      <c r="E24" s="309" t="str">
        <f t="shared" si="4"/>
        <v/>
      </c>
      <c r="F24" s="309" t="str">
        <f t="shared" si="5"/>
        <v/>
      </c>
      <c r="G24" s="309" t="str">
        <f t="shared" si="6"/>
        <v/>
      </c>
      <c r="J24" s="7">
        <v>7</v>
      </c>
    </row>
    <row r="25" spans="1:10">
      <c r="A25" s="307" t="str">
        <f t="shared" si="0"/>
        <v/>
      </c>
      <c r="B25" s="308" t="str">
        <f t="shared" si="2"/>
        <v/>
      </c>
      <c r="C25" s="309" t="str">
        <f t="shared" si="3"/>
        <v/>
      </c>
      <c r="D25" s="309" t="str">
        <f t="shared" si="1"/>
        <v/>
      </c>
      <c r="E25" s="309" t="str">
        <f t="shared" si="4"/>
        <v/>
      </c>
      <c r="F25" s="309" t="str">
        <f t="shared" si="5"/>
        <v/>
      </c>
      <c r="G25" s="309" t="str">
        <f t="shared" si="6"/>
        <v/>
      </c>
      <c r="J25" s="7">
        <v>8</v>
      </c>
    </row>
    <row r="26" spans="1:10">
      <c r="A26" s="307" t="str">
        <f t="shared" si="0"/>
        <v/>
      </c>
      <c r="B26" s="308" t="str">
        <f t="shared" si="2"/>
        <v/>
      </c>
      <c r="C26" s="309" t="str">
        <f t="shared" si="3"/>
        <v/>
      </c>
      <c r="D26" s="309" t="str">
        <f t="shared" si="1"/>
        <v/>
      </c>
      <c r="E26" s="309" t="str">
        <f t="shared" si="4"/>
        <v/>
      </c>
      <c r="F26" s="309" t="str">
        <f t="shared" si="5"/>
        <v/>
      </c>
      <c r="G26" s="309" t="str">
        <f t="shared" si="6"/>
        <v/>
      </c>
      <c r="J26" s="7">
        <v>9</v>
      </c>
    </row>
    <row r="27" spans="1:10">
      <c r="A27" s="307" t="str">
        <f t="shared" si="0"/>
        <v/>
      </c>
      <c r="B27" s="308" t="str">
        <f t="shared" si="2"/>
        <v/>
      </c>
      <c r="C27" s="309" t="str">
        <f t="shared" si="3"/>
        <v/>
      </c>
      <c r="D27" s="309" t="str">
        <f t="shared" si="1"/>
        <v/>
      </c>
      <c r="E27" s="309" t="str">
        <f t="shared" si="4"/>
        <v/>
      </c>
      <c r="F27" s="309" t="str">
        <f t="shared" si="5"/>
        <v/>
      </c>
      <c r="G27" s="309" t="str">
        <f t="shared" si="6"/>
        <v/>
      </c>
      <c r="J27" s="7">
        <v>10</v>
      </c>
    </row>
    <row r="28" spans="1:10">
      <c r="A28" s="307" t="str">
        <f t="shared" si="0"/>
        <v/>
      </c>
      <c r="B28" s="308" t="str">
        <f t="shared" si="2"/>
        <v/>
      </c>
      <c r="C28" s="309" t="str">
        <f t="shared" si="3"/>
        <v/>
      </c>
      <c r="D28" s="309" t="str">
        <f t="shared" si="1"/>
        <v/>
      </c>
      <c r="E28" s="309" t="str">
        <f t="shared" si="4"/>
        <v/>
      </c>
      <c r="F28" s="309" t="str">
        <f t="shared" si="5"/>
        <v/>
      </c>
      <c r="G28" s="309" t="str">
        <f t="shared" si="6"/>
        <v/>
      </c>
      <c r="J28" s="7">
        <v>11</v>
      </c>
    </row>
    <row r="29" spans="1:10">
      <c r="A29" s="307" t="str">
        <f t="shared" si="0"/>
        <v/>
      </c>
      <c r="B29" s="308" t="str">
        <f t="shared" si="2"/>
        <v/>
      </c>
      <c r="C29" s="309" t="str">
        <f t="shared" si="3"/>
        <v/>
      </c>
      <c r="D29" s="309" t="str">
        <f t="shared" si="1"/>
        <v/>
      </c>
      <c r="E29" s="309" t="str">
        <f t="shared" si="4"/>
        <v/>
      </c>
      <c r="F29" s="309" t="str">
        <f t="shared" si="5"/>
        <v/>
      </c>
      <c r="G29" s="309" t="str">
        <f t="shared" si="6"/>
        <v/>
      </c>
      <c r="J29" s="7">
        <v>12</v>
      </c>
    </row>
    <row r="30" spans="1:10">
      <c r="A30" s="307" t="str">
        <f t="shared" si="0"/>
        <v/>
      </c>
      <c r="B30" s="308" t="str">
        <f t="shared" si="2"/>
        <v/>
      </c>
      <c r="C30" s="309" t="str">
        <f t="shared" si="3"/>
        <v/>
      </c>
      <c r="D30" s="309" t="str">
        <f t="shared" si="1"/>
        <v/>
      </c>
      <c r="E30" s="309" t="str">
        <f t="shared" si="4"/>
        <v/>
      </c>
      <c r="F30" s="309" t="str">
        <f t="shared" si="5"/>
        <v/>
      </c>
      <c r="G30" s="309" t="str">
        <f t="shared" si="6"/>
        <v/>
      </c>
      <c r="J30" s="7">
        <v>13</v>
      </c>
    </row>
    <row r="31" spans="1:10">
      <c r="A31" s="307" t="str">
        <f t="shared" si="0"/>
        <v/>
      </c>
      <c r="B31" s="308" t="str">
        <f t="shared" si="2"/>
        <v/>
      </c>
      <c r="C31" s="309" t="str">
        <f t="shared" si="3"/>
        <v/>
      </c>
      <c r="D31" s="309" t="str">
        <f t="shared" si="1"/>
        <v/>
      </c>
      <c r="E31" s="309" t="str">
        <f t="shared" si="4"/>
        <v/>
      </c>
      <c r="F31" s="309" t="str">
        <f t="shared" si="5"/>
        <v/>
      </c>
      <c r="G31" s="309" t="str">
        <f t="shared" si="6"/>
        <v/>
      </c>
      <c r="J31" s="7">
        <v>14</v>
      </c>
    </row>
    <row r="32" spans="1:10">
      <c r="A32" s="307" t="str">
        <f t="shared" si="0"/>
        <v/>
      </c>
      <c r="B32" s="308" t="str">
        <f t="shared" si="2"/>
        <v/>
      </c>
      <c r="C32" s="309" t="str">
        <f t="shared" si="3"/>
        <v/>
      </c>
      <c r="D32" s="309" t="str">
        <f t="shared" si="1"/>
        <v/>
      </c>
      <c r="E32" s="309" t="str">
        <f t="shared" si="4"/>
        <v/>
      </c>
      <c r="F32" s="309" t="str">
        <f t="shared" si="5"/>
        <v/>
      </c>
      <c r="G32" s="309" t="str">
        <f t="shared" si="6"/>
        <v/>
      </c>
      <c r="J32" s="7">
        <v>15</v>
      </c>
    </row>
    <row r="33" spans="1:10">
      <c r="A33" s="307" t="str">
        <f t="shared" si="0"/>
        <v/>
      </c>
      <c r="B33" s="308" t="str">
        <f t="shared" si="2"/>
        <v/>
      </c>
      <c r="C33" s="309" t="str">
        <f t="shared" si="3"/>
        <v/>
      </c>
      <c r="D33" s="309" t="str">
        <f t="shared" si="1"/>
        <v/>
      </c>
      <c r="E33" s="309" t="str">
        <f t="shared" si="4"/>
        <v/>
      </c>
      <c r="F33" s="309" t="str">
        <f t="shared" si="5"/>
        <v/>
      </c>
      <c r="G33" s="309" t="str">
        <f t="shared" si="6"/>
        <v/>
      </c>
      <c r="J33" s="7">
        <v>16</v>
      </c>
    </row>
    <row r="34" spans="1:10">
      <c r="A34" s="307" t="str">
        <f t="shared" si="0"/>
        <v/>
      </c>
      <c r="B34" s="308" t="str">
        <f t="shared" si="2"/>
        <v/>
      </c>
      <c r="C34" s="309" t="str">
        <f t="shared" si="3"/>
        <v/>
      </c>
      <c r="D34" s="309" t="str">
        <f t="shared" si="1"/>
        <v/>
      </c>
      <c r="E34" s="309" t="str">
        <f t="shared" si="4"/>
        <v/>
      </c>
      <c r="F34" s="309" t="str">
        <f t="shared" si="5"/>
        <v/>
      </c>
      <c r="G34" s="309" t="str">
        <f t="shared" si="6"/>
        <v/>
      </c>
      <c r="J34" s="7">
        <v>17</v>
      </c>
    </row>
    <row r="35" spans="1:10">
      <c r="A35" s="307" t="str">
        <f t="shared" si="0"/>
        <v/>
      </c>
      <c r="B35" s="308" t="str">
        <f t="shared" si="2"/>
        <v/>
      </c>
      <c r="C35" s="309" t="str">
        <f t="shared" si="3"/>
        <v/>
      </c>
      <c r="D35" s="309" t="str">
        <f t="shared" si="1"/>
        <v/>
      </c>
      <c r="E35" s="309" t="str">
        <f t="shared" si="4"/>
        <v/>
      </c>
      <c r="F35" s="309" t="str">
        <f t="shared" si="5"/>
        <v/>
      </c>
      <c r="G35" s="309" t="str">
        <f t="shared" si="6"/>
        <v/>
      </c>
      <c r="J35" s="7">
        <v>18</v>
      </c>
    </row>
    <row r="36" spans="1:10">
      <c r="A36" s="307" t="str">
        <f t="shared" si="0"/>
        <v/>
      </c>
      <c r="B36" s="308" t="str">
        <f t="shared" si="2"/>
        <v/>
      </c>
      <c r="C36" s="309" t="str">
        <f t="shared" si="3"/>
        <v/>
      </c>
      <c r="D36" s="309" t="str">
        <f t="shared" si="1"/>
        <v/>
      </c>
      <c r="E36" s="309" t="str">
        <f t="shared" si="4"/>
        <v/>
      </c>
      <c r="F36" s="309" t="str">
        <f t="shared" si="5"/>
        <v/>
      </c>
      <c r="G36" s="309" t="str">
        <f t="shared" si="6"/>
        <v/>
      </c>
      <c r="J36" s="7">
        <v>19</v>
      </c>
    </row>
    <row r="37" spans="1:10">
      <c r="A37" s="307" t="str">
        <f t="shared" si="0"/>
        <v/>
      </c>
      <c r="B37" s="308" t="str">
        <f t="shared" si="2"/>
        <v/>
      </c>
      <c r="C37" s="309" t="str">
        <f t="shared" si="3"/>
        <v/>
      </c>
      <c r="D37" s="309" t="str">
        <f t="shared" si="1"/>
        <v/>
      </c>
      <c r="E37" s="309" t="str">
        <f t="shared" si="4"/>
        <v/>
      </c>
      <c r="F37" s="309" t="str">
        <f t="shared" si="5"/>
        <v/>
      </c>
      <c r="G37" s="309" t="str">
        <f t="shared" si="6"/>
        <v/>
      </c>
      <c r="J37" s="7">
        <v>20</v>
      </c>
    </row>
    <row r="38" spans="1:10">
      <c r="A38" s="307" t="str">
        <f t="shared" si="0"/>
        <v/>
      </c>
      <c r="B38" s="308" t="str">
        <f t="shared" si="2"/>
        <v/>
      </c>
      <c r="C38" s="309" t="str">
        <f t="shared" si="3"/>
        <v/>
      </c>
      <c r="D38" s="309" t="str">
        <f t="shared" si="1"/>
        <v/>
      </c>
      <c r="E38" s="309" t="str">
        <f t="shared" si="4"/>
        <v/>
      </c>
      <c r="F38" s="309" t="str">
        <f t="shared" si="5"/>
        <v/>
      </c>
      <c r="G38" s="309" t="str">
        <f t="shared" si="6"/>
        <v/>
      </c>
      <c r="J38" s="7">
        <v>21</v>
      </c>
    </row>
    <row r="39" spans="1:10">
      <c r="A39" s="307" t="str">
        <f t="shared" si="0"/>
        <v/>
      </c>
      <c r="B39" s="308" t="str">
        <f t="shared" si="2"/>
        <v/>
      </c>
      <c r="C39" s="309" t="str">
        <f t="shared" si="3"/>
        <v/>
      </c>
      <c r="D39" s="309" t="str">
        <f t="shared" si="1"/>
        <v/>
      </c>
      <c r="E39" s="309" t="str">
        <f t="shared" si="4"/>
        <v/>
      </c>
      <c r="F39" s="309" t="str">
        <f t="shared" si="5"/>
        <v/>
      </c>
      <c r="G39" s="309" t="str">
        <f t="shared" si="6"/>
        <v/>
      </c>
      <c r="J39" s="7">
        <v>22</v>
      </c>
    </row>
    <row r="40" spans="1:10">
      <c r="A40" s="307" t="str">
        <f t="shared" si="0"/>
        <v/>
      </c>
      <c r="B40" s="308" t="str">
        <f t="shared" si="2"/>
        <v/>
      </c>
      <c r="C40" s="309" t="str">
        <f t="shared" si="3"/>
        <v/>
      </c>
      <c r="D40" s="309" t="str">
        <f t="shared" si="1"/>
        <v/>
      </c>
      <c r="E40" s="309" t="str">
        <f t="shared" si="4"/>
        <v/>
      </c>
      <c r="F40" s="309" t="str">
        <f t="shared" si="5"/>
        <v/>
      </c>
      <c r="G40" s="309" t="str">
        <f t="shared" si="6"/>
        <v/>
      </c>
      <c r="J40" s="7">
        <v>23</v>
      </c>
    </row>
    <row r="41" spans="1:10">
      <c r="A41" s="307" t="str">
        <f t="shared" si="0"/>
        <v/>
      </c>
      <c r="B41" s="308" t="str">
        <f t="shared" si="2"/>
        <v/>
      </c>
      <c r="C41" s="309" t="str">
        <f t="shared" si="3"/>
        <v/>
      </c>
      <c r="D41" s="309" t="str">
        <f t="shared" si="1"/>
        <v/>
      </c>
      <c r="E41" s="309" t="str">
        <f t="shared" si="4"/>
        <v/>
      </c>
      <c r="F41" s="309" t="str">
        <f t="shared" si="5"/>
        <v/>
      </c>
      <c r="G41" s="309" t="str">
        <f t="shared" si="6"/>
        <v/>
      </c>
      <c r="J41" s="7">
        <v>24</v>
      </c>
    </row>
    <row r="42" spans="1:10">
      <c r="A42" s="307" t="str">
        <f t="shared" si="0"/>
        <v/>
      </c>
      <c r="B42" s="308" t="str">
        <f t="shared" si="2"/>
        <v/>
      </c>
      <c r="C42" s="309" t="str">
        <f t="shared" si="3"/>
        <v/>
      </c>
      <c r="D42" s="309" t="str">
        <f t="shared" si="1"/>
        <v/>
      </c>
      <c r="E42" s="309" t="str">
        <f t="shared" si="4"/>
        <v/>
      </c>
      <c r="F42" s="309" t="str">
        <f t="shared" si="5"/>
        <v/>
      </c>
      <c r="G42" s="309" t="str">
        <f t="shared" si="6"/>
        <v/>
      </c>
      <c r="J42" s="7">
        <v>25</v>
      </c>
    </row>
    <row r="43" spans="1:10">
      <c r="A43" s="307" t="str">
        <f t="shared" si="0"/>
        <v/>
      </c>
      <c r="B43" s="308" t="str">
        <f t="shared" si="2"/>
        <v/>
      </c>
      <c r="C43" s="309" t="str">
        <f t="shared" si="3"/>
        <v/>
      </c>
      <c r="D43" s="309" t="str">
        <f t="shared" si="1"/>
        <v/>
      </c>
      <c r="E43" s="309" t="str">
        <f t="shared" si="4"/>
        <v/>
      </c>
      <c r="F43" s="309" t="str">
        <f t="shared" si="5"/>
        <v/>
      </c>
      <c r="G43" s="309" t="str">
        <f t="shared" si="6"/>
        <v/>
      </c>
      <c r="J43" s="7">
        <v>26</v>
      </c>
    </row>
    <row r="44" spans="1:10">
      <c r="A44" s="307" t="str">
        <f t="shared" si="0"/>
        <v/>
      </c>
      <c r="B44" s="308" t="str">
        <f t="shared" si="2"/>
        <v/>
      </c>
      <c r="C44" s="309" t="str">
        <f t="shared" si="3"/>
        <v/>
      </c>
      <c r="D44" s="309" t="str">
        <f t="shared" si="1"/>
        <v/>
      </c>
      <c r="E44" s="309" t="str">
        <f t="shared" si="4"/>
        <v/>
      </c>
      <c r="F44" s="309" t="str">
        <f t="shared" si="5"/>
        <v/>
      </c>
      <c r="G44" s="309" t="str">
        <f t="shared" si="6"/>
        <v/>
      </c>
      <c r="J44" s="7">
        <v>27</v>
      </c>
    </row>
    <row r="45" spans="1:10">
      <c r="A45" s="307" t="str">
        <f t="shared" si="0"/>
        <v/>
      </c>
      <c r="B45" s="308" t="str">
        <f t="shared" si="2"/>
        <v/>
      </c>
      <c r="C45" s="309" t="str">
        <f t="shared" si="3"/>
        <v/>
      </c>
      <c r="D45" s="309" t="str">
        <f t="shared" si="1"/>
        <v/>
      </c>
      <c r="E45" s="309" t="str">
        <f t="shared" si="4"/>
        <v/>
      </c>
      <c r="F45" s="309" t="str">
        <f t="shared" si="5"/>
        <v/>
      </c>
      <c r="G45" s="309" t="str">
        <f t="shared" si="6"/>
        <v/>
      </c>
      <c r="J45" s="7">
        <v>28</v>
      </c>
    </row>
    <row r="46" spans="1:10">
      <c r="A46" s="307" t="str">
        <f t="shared" si="0"/>
        <v/>
      </c>
      <c r="B46" s="308" t="str">
        <f t="shared" si="2"/>
        <v/>
      </c>
      <c r="C46" s="309" t="str">
        <f t="shared" si="3"/>
        <v/>
      </c>
      <c r="D46" s="309" t="str">
        <f t="shared" si="1"/>
        <v/>
      </c>
      <c r="E46" s="309" t="str">
        <f t="shared" si="4"/>
        <v/>
      </c>
      <c r="F46" s="309" t="str">
        <f t="shared" si="5"/>
        <v/>
      </c>
      <c r="G46" s="309" t="str">
        <f t="shared" si="6"/>
        <v/>
      </c>
      <c r="J46" s="7">
        <v>29</v>
      </c>
    </row>
    <row r="47" spans="1:10">
      <c r="A47" s="307" t="str">
        <f t="shared" si="0"/>
        <v/>
      </c>
      <c r="B47" s="308" t="str">
        <f t="shared" si="2"/>
        <v/>
      </c>
      <c r="C47" s="309" t="str">
        <f t="shared" si="3"/>
        <v/>
      </c>
      <c r="D47" s="309" t="str">
        <f t="shared" si="1"/>
        <v/>
      </c>
      <c r="E47" s="309" t="str">
        <f t="shared" si="4"/>
        <v/>
      </c>
      <c r="F47" s="309" t="str">
        <f t="shared" si="5"/>
        <v/>
      </c>
      <c r="G47" s="309" t="str">
        <f t="shared" si="6"/>
        <v/>
      </c>
      <c r="J47" s="7">
        <v>30</v>
      </c>
    </row>
    <row r="48" spans="1:10">
      <c r="A48" s="307" t="str">
        <f t="shared" si="0"/>
        <v/>
      </c>
      <c r="B48" s="308" t="str">
        <f t="shared" si="2"/>
        <v/>
      </c>
      <c r="C48" s="309" t="str">
        <f t="shared" si="3"/>
        <v/>
      </c>
      <c r="D48" s="309" t="str">
        <f t="shared" si="1"/>
        <v/>
      </c>
      <c r="E48" s="309" t="str">
        <f t="shared" si="4"/>
        <v/>
      </c>
      <c r="F48" s="309" t="str">
        <f t="shared" si="5"/>
        <v/>
      </c>
      <c r="G48" s="309" t="str">
        <f t="shared" si="6"/>
        <v/>
      </c>
      <c r="J48" s="7">
        <v>31</v>
      </c>
    </row>
    <row r="49" spans="1:10">
      <c r="A49" s="307" t="str">
        <f t="shared" si="0"/>
        <v/>
      </c>
      <c r="B49" s="308" t="str">
        <f t="shared" si="2"/>
        <v/>
      </c>
      <c r="C49" s="309" t="str">
        <f t="shared" si="3"/>
        <v/>
      </c>
      <c r="D49" s="309" t="str">
        <f t="shared" si="1"/>
        <v/>
      </c>
      <c r="E49" s="309" t="str">
        <f t="shared" si="4"/>
        <v/>
      </c>
      <c r="F49" s="309" t="str">
        <f t="shared" si="5"/>
        <v/>
      </c>
      <c r="G49" s="309" t="str">
        <f t="shared" si="6"/>
        <v/>
      </c>
      <c r="J49" s="7">
        <v>32</v>
      </c>
    </row>
    <row r="50" spans="1:10">
      <c r="A50" s="307" t="str">
        <f t="shared" si="0"/>
        <v/>
      </c>
      <c r="B50" s="308" t="str">
        <f t="shared" si="2"/>
        <v/>
      </c>
      <c r="C50" s="309" t="str">
        <f t="shared" si="3"/>
        <v/>
      </c>
      <c r="D50" s="309" t="str">
        <f t="shared" si="1"/>
        <v/>
      </c>
      <c r="E50" s="309" t="str">
        <f t="shared" si="4"/>
        <v/>
      </c>
      <c r="F50" s="309" t="str">
        <f t="shared" si="5"/>
        <v/>
      </c>
      <c r="G50" s="309" t="str">
        <f t="shared" si="6"/>
        <v/>
      </c>
      <c r="J50" s="7">
        <v>33</v>
      </c>
    </row>
    <row r="51" spans="1:10">
      <c r="A51" s="307" t="str">
        <f t="shared" si="0"/>
        <v/>
      </c>
      <c r="B51" s="308" t="str">
        <f t="shared" si="2"/>
        <v/>
      </c>
      <c r="C51" s="309" t="str">
        <f t="shared" si="3"/>
        <v/>
      </c>
      <c r="D51" s="309" t="str">
        <f t="shared" si="1"/>
        <v/>
      </c>
      <c r="E51" s="309" t="str">
        <f t="shared" si="4"/>
        <v/>
      </c>
      <c r="F51" s="309" t="str">
        <f t="shared" si="5"/>
        <v/>
      </c>
      <c r="G51" s="309" t="str">
        <f t="shared" si="6"/>
        <v/>
      </c>
      <c r="J51" s="7">
        <v>34</v>
      </c>
    </row>
    <row r="52" spans="1:10">
      <c r="A52" s="307" t="str">
        <f t="shared" si="0"/>
        <v/>
      </c>
      <c r="B52" s="308" t="str">
        <f t="shared" si="2"/>
        <v/>
      </c>
      <c r="C52" s="309" t="str">
        <f t="shared" si="3"/>
        <v/>
      </c>
      <c r="D52" s="309" t="str">
        <f t="shared" si="1"/>
        <v/>
      </c>
      <c r="E52" s="309" t="str">
        <f t="shared" si="4"/>
        <v/>
      </c>
      <c r="F52" s="309" t="str">
        <f t="shared" si="5"/>
        <v/>
      </c>
      <c r="G52" s="309" t="str">
        <f t="shared" si="6"/>
        <v/>
      </c>
      <c r="J52" s="7">
        <v>35</v>
      </c>
    </row>
    <row r="53" spans="1:10">
      <c r="A53" s="307" t="str">
        <f t="shared" si="0"/>
        <v/>
      </c>
      <c r="B53" s="308" t="str">
        <f t="shared" si="2"/>
        <v/>
      </c>
      <c r="C53" s="309" t="str">
        <f t="shared" si="3"/>
        <v/>
      </c>
      <c r="D53" s="309" t="str">
        <f t="shared" si="1"/>
        <v/>
      </c>
      <c r="E53" s="309" t="str">
        <f t="shared" si="4"/>
        <v/>
      </c>
      <c r="F53" s="309" t="str">
        <f t="shared" si="5"/>
        <v/>
      </c>
      <c r="G53" s="309" t="str">
        <f t="shared" si="6"/>
        <v/>
      </c>
      <c r="J53" s="7">
        <v>36</v>
      </c>
    </row>
    <row r="54" spans="1:10">
      <c r="A54" s="307" t="str">
        <f t="shared" si="0"/>
        <v/>
      </c>
      <c r="B54" s="308" t="str">
        <f t="shared" si="2"/>
        <v/>
      </c>
      <c r="C54" s="309" t="str">
        <f t="shared" si="3"/>
        <v/>
      </c>
      <c r="D54" s="309" t="str">
        <f t="shared" si="1"/>
        <v/>
      </c>
      <c r="E54" s="309" t="str">
        <f t="shared" si="4"/>
        <v/>
      </c>
      <c r="F54" s="309" t="str">
        <f t="shared" si="5"/>
        <v/>
      </c>
      <c r="G54" s="309" t="str">
        <f t="shared" si="6"/>
        <v/>
      </c>
      <c r="J54" s="7">
        <v>37</v>
      </c>
    </row>
    <row r="55" spans="1:10">
      <c r="A55" s="307" t="str">
        <f t="shared" si="0"/>
        <v/>
      </c>
      <c r="B55" s="308" t="str">
        <f t="shared" si="2"/>
        <v/>
      </c>
      <c r="C55" s="309" t="str">
        <f t="shared" si="3"/>
        <v/>
      </c>
      <c r="D55" s="309" t="str">
        <f t="shared" si="1"/>
        <v/>
      </c>
      <c r="E55" s="309" t="str">
        <f t="shared" si="4"/>
        <v/>
      </c>
      <c r="F55" s="309" t="str">
        <f t="shared" si="5"/>
        <v/>
      </c>
      <c r="G55" s="309" t="str">
        <f t="shared" si="6"/>
        <v/>
      </c>
      <c r="J55" s="7">
        <v>38</v>
      </c>
    </row>
    <row r="56" spans="1:10">
      <c r="A56" s="307" t="str">
        <f t="shared" si="0"/>
        <v/>
      </c>
      <c r="B56" s="308" t="str">
        <f t="shared" si="2"/>
        <v/>
      </c>
      <c r="C56" s="309" t="str">
        <f t="shared" si="3"/>
        <v/>
      </c>
      <c r="D56" s="309" t="str">
        <f t="shared" si="1"/>
        <v/>
      </c>
      <c r="E56" s="309" t="str">
        <f t="shared" si="4"/>
        <v/>
      </c>
      <c r="F56" s="309" t="str">
        <f t="shared" si="5"/>
        <v/>
      </c>
      <c r="G56" s="309" t="str">
        <f t="shared" si="6"/>
        <v/>
      </c>
      <c r="J56" s="7">
        <v>39</v>
      </c>
    </row>
    <row r="57" spans="1:10">
      <c r="A57" s="307" t="str">
        <f t="shared" si="0"/>
        <v/>
      </c>
      <c r="B57" s="308" t="str">
        <f t="shared" si="2"/>
        <v/>
      </c>
      <c r="C57" s="309" t="str">
        <f t="shared" si="3"/>
        <v/>
      </c>
      <c r="D57" s="309" t="str">
        <f t="shared" si="1"/>
        <v/>
      </c>
      <c r="E57" s="309" t="str">
        <f t="shared" si="4"/>
        <v/>
      </c>
      <c r="F57" s="309" t="str">
        <f t="shared" si="5"/>
        <v/>
      </c>
      <c r="G57" s="309" t="str">
        <f t="shared" si="6"/>
        <v/>
      </c>
      <c r="J57" s="7">
        <v>40</v>
      </c>
    </row>
    <row r="58" spans="1:10">
      <c r="A58" s="307" t="str">
        <f t="shared" si="0"/>
        <v/>
      </c>
      <c r="B58" s="308" t="str">
        <f t="shared" si="2"/>
        <v/>
      </c>
      <c r="C58" s="309" t="str">
        <f t="shared" si="3"/>
        <v/>
      </c>
      <c r="D58" s="309" t="str">
        <f t="shared" si="1"/>
        <v/>
      </c>
      <c r="E58" s="309" t="str">
        <f t="shared" si="4"/>
        <v/>
      </c>
      <c r="F58" s="309" t="str">
        <f t="shared" si="5"/>
        <v/>
      </c>
      <c r="G58" s="309" t="str">
        <f t="shared" si="6"/>
        <v/>
      </c>
      <c r="J58" s="7">
        <v>41</v>
      </c>
    </row>
    <row r="59" spans="1:10">
      <c r="A59" s="307" t="str">
        <f t="shared" si="0"/>
        <v/>
      </c>
      <c r="B59" s="308" t="str">
        <f t="shared" si="2"/>
        <v/>
      </c>
      <c r="C59" s="309" t="str">
        <f t="shared" si="3"/>
        <v/>
      </c>
      <c r="D59" s="309" t="str">
        <f t="shared" si="1"/>
        <v/>
      </c>
      <c r="E59" s="309" t="str">
        <f t="shared" si="4"/>
        <v/>
      </c>
      <c r="F59" s="309" t="str">
        <f t="shared" si="5"/>
        <v/>
      </c>
      <c r="G59" s="309" t="str">
        <f t="shared" si="6"/>
        <v/>
      </c>
      <c r="J59" s="7">
        <v>42</v>
      </c>
    </row>
    <row r="60" spans="1:10">
      <c r="A60" s="307" t="str">
        <f t="shared" si="0"/>
        <v/>
      </c>
      <c r="B60" s="308" t="str">
        <f t="shared" si="2"/>
        <v/>
      </c>
      <c r="C60" s="309" t="str">
        <f t="shared" si="3"/>
        <v/>
      </c>
      <c r="D60" s="309" t="str">
        <f t="shared" si="1"/>
        <v/>
      </c>
      <c r="E60" s="309" t="str">
        <f t="shared" si="4"/>
        <v/>
      </c>
      <c r="F60" s="309" t="str">
        <f t="shared" si="5"/>
        <v/>
      </c>
      <c r="G60" s="309" t="str">
        <f t="shared" si="6"/>
        <v/>
      </c>
      <c r="J60" s="7">
        <v>43</v>
      </c>
    </row>
    <row r="61" spans="1:10">
      <c r="A61" s="307" t="str">
        <f t="shared" si="0"/>
        <v/>
      </c>
      <c r="B61" s="308" t="str">
        <f t="shared" si="2"/>
        <v/>
      </c>
      <c r="C61" s="309" t="str">
        <f t="shared" si="3"/>
        <v/>
      </c>
      <c r="D61" s="309" t="str">
        <f t="shared" si="1"/>
        <v/>
      </c>
      <c r="E61" s="309" t="str">
        <f t="shared" si="4"/>
        <v/>
      </c>
      <c r="F61" s="309" t="str">
        <f t="shared" si="5"/>
        <v/>
      </c>
      <c r="G61" s="309" t="str">
        <f t="shared" si="6"/>
        <v/>
      </c>
      <c r="J61" s="7">
        <v>44</v>
      </c>
    </row>
    <row r="62" spans="1:10">
      <c r="A62" s="307" t="str">
        <f t="shared" si="0"/>
        <v/>
      </c>
      <c r="B62" s="308" t="str">
        <f t="shared" si="2"/>
        <v/>
      </c>
      <c r="C62" s="309" t="str">
        <f t="shared" si="3"/>
        <v/>
      </c>
      <c r="D62" s="309" t="str">
        <f t="shared" si="1"/>
        <v/>
      </c>
      <c r="E62" s="309" t="str">
        <f t="shared" si="4"/>
        <v/>
      </c>
      <c r="F62" s="309" t="str">
        <f t="shared" si="5"/>
        <v/>
      </c>
      <c r="G62" s="309" t="str">
        <f t="shared" si="6"/>
        <v/>
      </c>
      <c r="J62" s="7">
        <v>45</v>
      </c>
    </row>
    <row r="63" spans="1:10">
      <c r="A63" s="307" t="str">
        <f t="shared" si="0"/>
        <v/>
      </c>
      <c r="B63" s="308" t="str">
        <f t="shared" si="2"/>
        <v/>
      </c>
      <c r="C63" s="309" t="str">
        <f t="shared" si="3"/>
        <v/>
      </c>
      <c r="D63" s="309" t="str">
        <f t="shared" si="1"/>
        <v/>
      </c>
      <c r="E63" s="309" t="str">
        <f t="shared" si="4"/>
        <v/>
      </c>
      <c r="F63" s="309" t="str">
        <f t="shared" si="5"/>
        <v/>
      </c>
      <c r="G63" s="309" t="str">
        <f t="shared" si="6"/>
        <v/>
      </c>
      <c r="J63" s="7">
        <v>46</v>
      </c>
    </row>
    <row r="64" spans="1:10">
      <c r="A64" s="307" t="str">
        <f t="shared" si="0"/>
        <v/>
      </c>
      <c r="B64" s="308" t="str">
        <f t="shared" si="2"/>
        <v/>
      </c>
      <c r="C64" s="309" t="str">
        <f t="shared" si="3"/>
        <v/>
      </c>
      <c r="D64" s="309" t="str">
        <f t="shared" si="1"/>
        <v/>
      </c>
      <c r="E64" s="309" t="str">
        <f t="shared" si="4"/>
        <v/>
      </c>
      <c r="F64" s="309" t="str">
        <f t="shared" si="5"/>
        <v/>
      </c>
      <c r="G64" s="309" t="str">
        <f t="shared" si="6"/>
        <v/>
      </c>
      <c r="J64" s="7">
        <v>47</v>
      </c>
    </row>
    <row r="65" spans="1:10">
      <c r="A65" s="307" t="str">
        <f t="shared" si="0"/>
        <v/>
      </c>
      <c r="B65" s="308" t="str">
        <f t="shared" si="2"/>
        <v/>
      </c>
      <c r="C65" s="309" t="str">
        <f t="shared" si="3"/>
        <v/>
      </c>
      <c r="D65" s="309" t="str">
        <f t="shared" si="1"/>
        <v/>
      </c>
      <c r="E65" s="309" t="str">
        <f t="shared" si="4"/>
        <v/>
      </c>
      <c r="F65" s="309" t="str">
        <f t="shared" si="5"/>
        <v/>
      </c>
      <c r="G65" s="309" t="str">
        <f t="shared" si="6"/>
        <v/>
      </c>
      <c r="J65" s="7">
        <v>48</v>
      </c>
    </row>
    <row r="66" spans="1:10">
      <c r="A66" s="307" t="str">
        <f t="shared" si="0"/>
        <v/>
      </c>
      <c r="B66" s="308" t="str">
        <f t="shared" si="2"/>
        <v/>
      </c>
      <c r="C66" s="309" t="str">
        <f t="shared" si="3"/>
        <v/>
      </c>
      <c r="D66" s="309" t="str">
        <f t="shared" si="1"/>
        <v/>
      </c>
      <c r="E66" s="309" t="str">
        <f t="shared" si="4"/>
        <v/>
      </c>
      <c r="F66" s="309" t="str">
        <f t="shared" si="5"/>
        <v/>
      </c>
      <c r="G66" s="309" t="str">
        <f t="shared" si="6"/>
        <v/>
      </c>
      <c r="J66" s="7">
        <v>49</v>
      </c>
    </row>
    <row r="67" spans="1:10">
      <c r="A67" s="307" t="str">
        <f t="shared" si="0"/>
        <v/>
      </c>
      <c r="B67" s="308" t="str">
        <f t="shared" si="2"/>
        <v/>
      </c>
      <c r="C67" s="309" t="str">
        <f t="shared" si="3"/>
        <v/>
      </c>
      <c r="D67" s="309" t="str">
        <f t="shared" si="1"/>
        <v/>
      </c>
      <c r="E67" s="309" t="str">
        <f t="shared" si="4"/>
        <v/>
      </c>
      <c r="F67" s="309" t="str">
        <f t="shared" si="5"/>
        <v/>
      </c>
      <c r="G67" s="309" t="str">
        <f t="shared" si="6"/>
        <v/>
      </c>
      <c r="J67" s="7">
        <v>50</v>
      </c>
    </row>
    <row r="68" spans="1:10">
      <c r="A68" s="307" t="str">
        <f t="shared" si="0"/>
        <v/>
      </c>
      <c r="B68" s="308" t="str">
        <f t="shared" si="2"/>
        <v/>
      </c>
      <c r="C68" s="309" t="str">
        <f t="shared" si="3"/>
        <v/>
      </c>
      <c r="D68" s="309" t="str">
        <f t="shared" si="1"/>
        <v/>
      </c>
      <c r="E68" s="309" t="str">
        <f t="shared" si="4"/>
        <v/>
      </c>
      <c r="F68" s="309" t="str">
        <f t="shared" si="5"/>
        <v/>
      </c>
      <c r="G68" s="309" t="str">
        <f t="shared" si="6"/>
        <v/>
      </c>
      <c r="J68" s="7">
        <v>51</v>
      </c>
    </row>
    <row r="69" spans="1:10">
      <c r="A69" s="307" t="str">
        <f t="shared" si="0"/>
        <v/>
      </c>
      <c r="B69" s="308" t="str">
        <f t="shared" si="2"/>
        <v/>
      </c>
      <c r="C69" s="309" t="str">
        <f t="shared" si="3"/>
        <v/>
      </c>
      <c r="D69" s="309" t="str">
        <f t="shared" si="1"/>
        <v/>
      </c>
      <c r="E69" s="309" t="str">
        <f t="shared" si="4"/>
        <v/>
      </c>
      <c r="F69" s="309" t="str">
        <f t="shared" si="5"/>
        <v/>
      </c>
      <c r="G69" s="309" t="str">
        <f t="shared" si="6"/>
        <v/>
      </c>
      <c r="J69" s="7">
        <v>52</v>
      </c>
    </row>
    <row r="70" spans="1:10">
      <c r="A70" s="307" t="str">
        <f t="shared" si="0"/>
        <v/>
      </c>
      <c r="B70" s="308" t="str">
        <f t="shared" si="2"/>
        <v/>
      </c>
      <c r="C70" s="309" t="str">
        <f t="shared" si="3"/>
        <v/>
      </c>
      <c r="D70" s="309" t="str">
        <f t="shared" si="1"/>
        <v/>
      </c>
      <c r="E70" s="309" t="str">
        <f t="shared" si="4"/>
        <v/>
      </c>
      <c r="F70" s="309" t="str">
        <f t="shared" si="5"/>
        <v/>
      </c>
      <c r="G70" s="309" t="str">
        <f t="shared" si="6"/>
        <v/>
      </c>
      <c r="J70" s="7">
        <v>53</v>
      </c>
    </row>
    <row r="71" spans="1:10">
      <c r="A71" s="307" t="str">
        <f t="shared" si="0"/>
        <v/>
      </c>
      <c r="B71" s="308" t="str">
        <f t="shared" si="2"/>
        <v/>
      </c>
      <c r="C71" s="309" t="str">
        <f t="shared" si="3"/>
        <v/>
      </c>
      <c r="D71" s="309" t="str">
        <f t="shared" si="1"/>
        <v/>
      </c>
      <c r="E71" s="309" t="str">
        <f t="shared" si="4"/>
        <v/>
      </c>
      <c r="F71" s="309" t="str">
        <f t="shared" si="5"/>
        <v/>
      </c>
      <c r="G71" s="309" t="str">
        <f t="shared" si="6"/>
        <v/>
      </c>
      <c r="J71" s="7">
        <v>54</v>
      </c>
    </row>
    <row r="72" spans="1:10">
      <c r="A72" s="307" t="str">
        <f t="shared" si="0"/>
        <v/>
      </c>
      <c r="B72" s="308" t="str">
        <f t="shared" si="2"/>
        <v/>
      </c>
      <c r="C72" s="309" t="str">
        <f t="shared" si="3"/>
        <v/>
      </c>
      <c r="D72" s="309" t="str">
        <f t="shared" si="1"/>
        <v/>
      </c>
      <c r="E72" s="309" t="str">
        <f t="shared" si="4"/>
        <v/>
      </c>
      <c r="F72" s="309" t="str">
        <f t="shared" si="5"/>
        <v/>
      </c>
      <c r="G72" s="309" t="str">
        <f t="shared" si="6"/>
        <v/>
      </c>
      <c r="J72" s="7">
        <v>55</v>
      </c>
    </row>
    <row r="73" spans="1:10">
      <c r="A73" s="307" t="str">
        <f t="shared" si="0"/>
        <v/>
      </c>
      <c r="B73" s="308" t="str">
        <f t="shared" si="2"/>
        <v/>
      </c>
      <c r="C73" s="309" t="str">
        <f t="shared" si="3"/>
        <v/>
      </c>
      <c r="D73" s="309" t="str">
        <f t="shared" si="1"/>
        <v/>
      </c>
      <c r="E73" s="309" t="str">
        <f t="shared" si="4"/>
        <v/>
      </c>
      <c r="F73" s="309" t="str">
        <f t="shared" si="5"/>
        <v/>
      </c>
      <c r="G73" s="309" t="str">
        <f t="shared" si="6"/>
        <v/>
      </c>
      <c r="J73" s="7">
        <v>56</v>
      </c>
    </row>
    <row r="74" spans="1:10">
      <c r="A74" s="307" t="str">
        <f t="shared" si="0"/>
        <v/>
      </c>
      <c r="B74" s="308" t="str">
        <f t="shared" si="2"/>
        <v/>
      </c>
      <c r="C74" s="309" t="str">
        <f t="shared" si="3"/>
        <v/>
      </c>
      <c r="D74" s="309" t="str">
        <f t="shared" si="1"/>
        <v/>
      </c>
      <c r="E74" s="309" t="str">
        <f t="shared" si="4"/>
        <v/>
      </c>
      <c r="F74" s="309" t="str">
        <f t="shared" si="5"/>
        <v/>
      </c>
      <c r="G74" s="309" t="str">
        <f t="shared" si="6"/>
        <v/>
      </c>
      <c r="J74" s="7">
        <v>57</v>
      </c>
    </row>
    <row r="75" spans="1:10">
      <c r="A75" s="307" t="str">
        <f t="shared" si="0"/>
        <v/>
      </c>
      <c r="B75" s="308" t="str">
        <f t="shared" si="2"/>
        <v/>
      </c>
      <c r="C75" s="309" t="str">
        <f t="shared" si="3"/>
        <v/>
      </c>
      <c r="D75" s="309" t="str">
        <f t="shared" si="1"/>
        <v/>
      </c>
      <c r="E75" s="309" t="str">
        <f t="shared" si="4"/>
        <v/>
      </c>
      <c r="F75" s="309" t="str">
        <f t="shared" si="5"/>
        <v/>
      </c>
      <c r="G75" s="309" t="str">
        <f t="shared" si="6"/>
        <v/>
      </c>
      <c r="J75" s="7">
        <v>58</v>
      </c>
    </row>
    <row r="76" spans="1:10">
      <c r="A76" s="307" t="str">
        <f t="shared" si="0"/>
        <v/>
      </c>
      <c r="B76" s="308" t="str">
        <f t="shared" si="2"/>
        <v/>
      </c>
      <c r="C76" s="309" t="str">
        <f t="shared" si="3"/>
        <v/>
      </c>
      <c r="D76" s="309" t="str">
        <f t="shared" si="1"/>
        <v/>
      </c>
      <c r="E76" s="309" t="str">
        <f t="shared" si="4"/>
        <v/>
      </c>
      <c r="F76" s="309" t="str">
        <f t="shared" si="5"/>
        <v/>
      </c>
      <c r="G76" s="309" t="str">
        <f t="shared" si="6"/>
        <v/>
      </c>
      <c r="J76" s="7">
        <v>59</v>
      </c>
    </row>
    <row r="77" spans="1:10">
      <c r="A77" s="307" t="str">
        <f t="shared" si="0"/>
        <v/>
      </c>
      <c r="B77" s="308" t="str">
        <f t="shared" si="2"/>
        <v/>
      </c>
      <c r="C77" s="309" t="str">
        <f t="shared" si="3"/>
        <v/>
      </c>
      <c r="D77" s="309" t="str">
        <f t="shared" si="1"/>
        <v/>
      </c>
      <c r="E77" s="309" t="str">
        <f t="shared" si="4"/>
        <v/>
      </c>
      <c r="F77" s="309" t="str">
        <f t="shared" si="5"/>
        <v/>
      </c>
      <c r="G77" s="309" t="str">
        <f t="shared" si="6"/>
        <v/>
      </c>
      <c r="J77" s="7">
        <v>60</v>
      </c>
    </row>
    <row r="78" spans="1:10">
      <c r="A78" s="307" t="str">
        <f t="shared" si="0"/>
        <v/>
      </c>
      <c r="B78" s="308" t="str">
        <f t="shared" si="2"/>
        <v/>
      </c>
      <c r="C78" s="309" t="str">
        <f t="shared" si="3"/>
        <v/>
      </c>
      <c r="D78" s="309" t="str">
        <f t="shared" si="1"/>
        <v/>
      </c>
      <c r="E78" s="309" t="str">
        <f t="shared" si="4"/>
        <v/>
      </c>
      <c r="F78" s="309" t="str">
        <f t="shared" si="5"/>
        <v/>
      </c>
      <c r="G78" s="309" t="str">
        <f t="shared" si="6"/>
        <v/>
      </c>
      <c r="J78" s="7">
        <v>61</v>
      </c>
    </row>
    <row r="79" spans="1:10">
      <c r="A79" s="307" t="str">
        <f t="shared" si="0"/>
        <v/>
      </c>
      <c r="B79" s="308" t="str">
        <f t="shared" si="2"/>
        <v/>
      </c>
      <c r="C79" s="309" t="str">
        <f t="shared" si="3"/>
        <v/>
      </c>
      <c r="D79" s="309" t="str">
        <f t="shared" si="1"/>
        <v/>
      </c>
      <c r="E79" s="309" t="str">
        <f t="shared" si="4"/>
        <v/>
      </c>
      <c r="F79" s="309" t="str">
        <f t="shared" si="5"/>
        <v/>
      </c>
      <c r="G79" s="309" t="str">
        <f t="shared" si="6"/>
        <v/>
      </c>
      <c r="J79" s="7">
        <v>62</v>
      </c>
    </row>
    <row r="80" spans="1:10">
      <c r="A80" s="307" t="str">
        <f t="shared" si="0"/>
        <v/>
      </c>
      <c r="B80" s="308" t="str">
        <f t="shared" si="2"/>
        <v/>
      </c>
      <c r="C80" s="309" t="str">
        <f t="shared" si="3"/>
        <v/>
      </c>
      <c r="D80" s="309" t="str">
        <f t="shared" si="1"/>
        <v/>
      </c>
      <c r="E80" s="309" t="str">
        <f t="shared" si="4"/>
        <v/>
      </c>
      <c r="F80" s="309" t="str">
        <f t="shared" si="5"/>
        <v/>
      </c>
      <c r="G80" s="309" t="str">
        <f t="shared" si="6"/>
        <v/>
      </c>
      <c r="J80" s="7">
        <v>63</v>
      </c>
    </row>
    <row r="81" spans="1:10">
      <c r="A81" s="307" t="str">
        <f t="shared" si="0"/>
        <v/>
      </c>
      <c r="B81" s="308" t="str">
        <f t="shared" si="2"/>
        <v/>
      </c>
      <c r="C81" s="309" t="str">
        <f t="shared" si="3"/>
        <v/>
      </c>
      <c r="D81" s="309" t="str">
        <f>IF(A81&gt;=C$11,"",C81*F$10)</f>
        <v/>
      </c>
      <c r="E81" s="309" t="str">
        <f t="shared" si="4"/>
        <v/>
      </c>
      <c r="F81" s="309" t="str">
        <f t="shared" si="5"/>
        <v/>
      </c>
      <c r="G81" s="309" t="str">
        <f t="shared" si="6"/>
        <v/>
      </c>
      <c r="J81" s="7">
        <v>64</v>
      </c>
    </row>
    <row r="82" spans="1:10">
      <c r="A82" s="307" t="str">
        <f t="shared" si="0"/>
        <v/>
      </c>
      <c r="B82" s="308" t="str">
        <f t="shared" si="2"/>
        <v/>
      </c>
      <c r="C82" s="309" t="str">
        <f t="shared" si="3"/>
        <v/>
      </c>
      <c r="D82" s="309" t="str">
        <f>IF(A82&gt;=C$11,"",C82*F$10)</f>
        <v/>
      </c>
      <c r="E82" s="309" t="str">
        <f t="shared" si="4"/>
        <v/>
      </c>
      <c r="F82" s="309" t="str">
        <f t="shared" si="5"/>
        <v/>
      </c>
      <c r="G82" s="309" t="str">
        <f t="shared" si="6"/>
        <v/>
      </c>
      <c r="J82" s="7">
        <v>65</v>
      </c>
    </row>
    <row r="83" spans="1:10">
      <c r="A83" s="307" t="str">
        <f t="shared" ref="A83:A101" si="7">IF(J83&lt;=C$11,J83,"")</f>
        <v/>
      </c>
      <c r="B83" s="308" t="str">
        <f t="shared" si="2"/>
        <v/>
      </c>
      <c r="C83" s="309" t="str">
        <f t="shared" si="3"/>
        <v/>
      </c>
      <c r="D83" s="309" t="str">
        <f>IF(A83&gt;=C$11,"",C83*F$10)</f>
        <v/>
      </c>
      <c r="E83" s="309" t="str">
        <f t="shared" si="4"/>
        <v/>
      </c>
      <c r="F83" s="309" t="str">
        <f t="shared" si="5"/>
        <v/>
      </c>
      <c r="G83" s="309" t="str">
        <f t="shared" si="6"/>
        <v/>
      </c>
      <c r="J83" s="7">
        <v>66</v>
      </c>
    </row>
    <row r="84" spans="1:10">
      <c r="A84" s="307" t="str">
        <f t="shared" si="7"/>
        <v/>
      </c>
      <c r="B84" s="308" t="str">
        <f t="shared" ref="B84:B101" si="8">IF(A84&gt;C$11,"",EDATE(B83,1))</f>
        <v/>
      </c>
      <c r="C84" s="309" t="str">
        <f t="shared" ref="C84:C101" si="9">IF(A84&gt;C$11,"",C83-E83)</f>
        <v/>
      </c>
      <c r="D84" s="309" t="str">
        <f t="shared" ref="D84:D101" si="10">IF(A84&gt;=C$11,"",C84*F$10)</f>
        <v/>
      </c>
      <c r="E84" s="309" t="str">
        <f t="shared" ref="E84:E101" si="11">IF(A84&gt;C$11,"",F84-D84)</f>
        <v/>
      </c>
      <c r="F84" s="309" t="str">
        <f t="shared" ref="F84:F101" si="12">IF(A84&gt;C$11,"",F$18)</f>
        <v/>
      </c>
      <c r="G84" s="309" t="str">
        <f t="shared" ref="G84:G101" si="13">IFERROR(G83+D84,"")</f>
        <v/>
      </c>
      <c r="J84" s="7">
        <v>67</v>
      </c>
    </row>
    <row r="85" spans="1:10">
      <c r="A85" s="307" t="str">
        <f t="shared" si="7"/>
        <v/>
      </c>
      <c r="B85" s="308" t="str">
        <f t="shared" si="8"/>
        <v/>
      </c>
      <c r="C85" s="309" t="str">
        <f t="shared" si="9"/>
        <v/>
      </c>
      <c r="D85" s="309" t="str">
        <f t="shared" si="10"/>
        <v/>
      </c>
      <c r="E85" s="309" t="str">
        <f t="shared" si="11"/>
        <v/>
      </c>
      <c r="F85" s="309" t="str">
        <f t="shared" si="12"/>
        <v/>
      </c>
      <c r="G85" s="309" t="str">
        <f t="shared" si="13"/>
        <v/>
      </c>
      <c r="J85" s="7">
        <v>68</v>
      </c>
    </row>
    <row r="86" spans="1:10">
      <c r="A86" s="307" t="str">
        <f t="shared" si="7"/>
        <v/>
      </c>
      <c r="B86" s="308" t="str">
        <f t="shared" si="8"/>
        <v/>
      </c>
      <c r="C86" s="309" t="str">
        <f t="shared" si="9"/>
        <v/>
      </c>
      <c r="D86" s="309" t="str">
        <f t="shared" si="10"/>
        <v/>
      </c>
      <c r="E86" s="309" t="str">
        <f t="shared" si="11"/>
        <v/>
      </c>
      <c r="F86" s="309" t="str">
        <f t="shared" si="12"/>
        <v/>
      </c>
      <c r="G86" s="309" t="str">
        <f t="shared" si="13"/>
        <v/>
      </c>
      <c r="J86" s="7">
        <v>69</v>
      </c>
    </row>
    <row r="87" spans="1:10">
      <c r="A87" s="307" t="str">
        <f t="shared" si="7"/>
        <v/>
      </c>
      <c r="B87" s="308" t="str">
        <f t="shared" si="8"/>
        <v/>
      </c>
      <c r="C87" s="309" t="str">
        <f t="shared" si="9"/>
        <v/>
      </c>
      <c r="D87" s="309" t="str">
        <f t="shared" si="10"/>
        <v/>
      </c>
      <c r="E87" s="309" t="str">
        <f t="shared" si="11"/>
        <v/>
      </c>
      <c r="F87" s="309" t="str">
        <f t="shared" si="12"/>
        <v/>
      </c>
      <c r="G87" s="309" t="str">
        <f t="shared" si="13"/>
        <v/>
      </c>
      <c r="J87" s="7">
        <v>70</v>
      </c>
    </row>
    <row r="88" spans="1:10">
      <c r="A88" s="307" t="str">
        <f t="shared" si="7"/>
        <v/>
      </c>
      <c r="B88" s="308" t="str">
        <f t="shared" si="8"/>
        <v/>
      </c>
      <c r="C88" s="309" t="str">
        <f t="shared" si="9"/>
        <v/>
      </c>
      <c r="D88" s="309" t="str">
        <f t="shared" si="10"/>
        <v/>
      </c>
      <c r="E88" s="309" t="str">
        <f t="shared" si="11"/>
        <v/>
      </c>
      <c r="F88" s="309" t="str">
        <f t="shared" si="12"/>
        <v/>
      </c>
      <c r="G88" s="309" t="str">
        <f t="shared" si="13"/>
        <v/>
      </c>
      <c r="J88" s="7">
        <v>71</v>
      </c>
    </row>
    <row r="89" spans="1:10">
      <c r="A89" s="307" t="str">
        <f t="shared" si="7"/>
        <v/>
      </c>
      <c r="B89" s="308" t="str">
        <f t="shared" si="8"/>
        <v/>
      </c>
      <c r="C89" s="309" t="str">
        <f t="shared" si="9"/>
        <v/>
      </c>
      <c r="D89" s="309" t="str">
        <f t="shared" si="10"/>
        <v/>
      </c>
      <c r="E89" s="309" t="str">
        <f t="shared" si="11"/>
        <v/>
      </c>
      <c r="F89" s="309" t="str">
        <f t="shared" si="12"/>
        <v/>
      </c>
      <c r="G89" s="309" t="str">
        <f t="shared" si="13"/>
        <v/>
      </c>
      <c r="J89" s="7">
        <v>72</v>
      </c>
    </row>
    <row r="90" spans="1:10">
      <c r="A90" s="307" t="str">
        <f t="shared" si="7"/>
        <v/>
      </c>
      <c r="B90" s="308" t="str">
        <f t="shared" si="8"/>
        <v/>
      </c>
      <c r="C90" s="309" t="str">
        <f t="shared" si="9"/>
        <v/>
      </c>
      <c r="D90" s="309" t="str">
        <f t="shared" si="10"/>
        <v/>
      </c>
      <c r="E90" s="309" t="str">
        <f t="shared" si="11"/>
        <v/>
      </c>
      <c r="F90" s="309" t="str">
        <f t="shared" si="12"/>
        <v/>
      </c>
      <c r="G90" s="309" t="str">
        <f t="shared" si="13"/>
        <v/>
      </c>
      <c r="J90" s="7">
        <v>73</v>
      </c>
    </row>
    <row r="91" spans="1:10">
      <c r="A91" s="307" t="str">
        <f t="shared" si="7"/>
        <v/>
      </c>
      <c r="B91" s="308" t="str">
        <f t="shared" si="8"/>
        <v/>
      </c>
      <c r="C91" s="309" t="str">
        <f t="shared" si="9"/>
        <v/>
      </c>
      <c r="D91" s="309" t="str">
        <f t="shared" si="10"/>
        <v/>
      </c>
      <c r="E91" s="309" t="str">
        <f t="shared" si="11"/>
        <v/>
      </c>
      <c r="F91" s="309" t="str">
        <f t="shared" si="12"/>
        <v/>
      </c>
      <c r="G91" s="309" t="str">
        <f t="shared" si="13"/>
        <v/>
      </c>
      <c r="J91" s="7">
        <v>74</v>
      </c>
    </row>
    <row r="92" spans="1:10">
      <c r="A92" s="307" t="str">
        <f t="shared" si="7"/>
        <v/>
      </c>
      <c r="B92" s="308" t="str">
        <f t="shared" si="8"/>
        <v/>
      </c>
      <c r="C92" s="309" t="str">
        <f t="shared" si="9"/>
        <v/>
      </c>
      <c r="D92" s="309" t="str">
        <f t="shared" si="10"/>
        <v/>
      </c>
      <c r="E92" s="309" t="str">
        <f t="shared" si="11"/>
        <v/>
      </c>
      <c r="F92" s="309" t="str">
        <f t="shared" si="12"/>
        <v/>
      </c>
      <c r="G92" s="309" t="str">
        <f t="shared" si="13"/>
        <v/>
      </c>
      <c r="J92" s="7">
        <v>75</v>
      </c>
    </row>
    <row r="93" spans="1:10">
      <c r="A93" s="307" t="str">
        <f t="shared" si="7"/>
        <v/>
      </c>
      <c r="B93" s="308" t="str">
        <f t="shared" si="8"/>
        <v/>
      </c>
      <c r="C93" s="309" t="str">
        <f t="shared" si="9"/>
        <v/>
      </c>
      <c r="D93" s="309" t="str">
        <f t="shared" si="10"/>
        <v/>
      </c>
      <c r="E93" s="309" t="str">
        <f t="shared" si="11"/>
        <v/>
      </c>
      <c r="F93" s="309" t="str">
        <f t="shared" si="12"/>
        <v/>
      </c>
      <c r="G93" s="309" t="str">
        <f t="shared" si="13"/>
        <v/>
      </c>
      <c r="J93" s="7">
        <v>76</v>
      </c>
    </row>
    <row r="94" spans="1:10">
      <c r="A94" s="307" t="str">
        <f t="shared" si="7"/>
        <v/>
      </c>
      <c r="B94" s="308" t="str">
        <f t="shared" si="8"/>
        <v/>
      </c>
      <c r="C94" s="309" t="str">
        <f t="shared" si="9"/>
        <v/>
      </c>
      <c r="D94" s="309" t="str">
        <f t="shared" si="10"/>
        <v/>
      </c>
      <c r="E94" s="309" t="str">
        <f t="shared" si="11"/>
        <v/>
      </c>
      <c r="F94" s="309" t="str">
        <f t="shared" si="12"/>
        <v/>
      </c>
      <c r="G94" s="309" t="str">
        <f t="shared" si="13"/>
        <v/>
      </c>
      <c r="J94" s="7">
        <v>77</v>
      </c>
    </row>
    <row r="95" spans="1:10">
      <c r="A95" s="307" t="str">
        <f t="shared" si="7"/>
        <v/>
      </c>
      <c r="B95" s="308" t="str">
        <f t="shared" si="8"/>
        <v/>
      </c>
      <c r="C95" s="309" t="str">
        <f t="shared" si="9"/>
        <v/>
      </c>
      <c r="D95" s="309" t="str">
        <f t="shared" si="10"/>
        <v/>
      </c>
      <c r="E95" s="309" t="str">
        <f t="shared" si="11"/>
        <v/>
      </c>
      <c r="F95" s="309" t="str">
        <f t="shared" si="12"/>
        <v/>
      </c>
      <c r="G95" s="309" t="str">
        <f t="shared" si="13"/>
        <v/>
      </c>
      <c r="J95" s="7">
        <v>78</v>
      </c>
    </row>
    <row r="96" spans="1:10">
      <c r="A96" s="307" t="str">
        <f t="shared" si="7"/>
        <v/>
      </c>
      <c r="B96" s="308" t="str">
        <f t="shared" si="8"/>
        <v/>
      </c>
      <c r="C96" s="309" t="str">
        <f t="shared" si="9"/>
        <v/>
      </c>
      <c r="D96" s="309" t="str">
        <f t="shared" si="10"/>
        <v/>
      </c>
      <c r="E96" s="309" t="str">
        <f t="shared" si="11"/>
        <v/>
      </c>
      <c r="F96" s="309" t="str">
        <f t="shared" si="12"/>
        <v/>
      </c>
      <c r="G96" s="309" t="str">
        <f t="shared" si="13"/>
        <v/>
      </c>
      <c r="J96" s="7">
        <v>79</v>
      </c>
    </row>
    <row r="97" spans="1:10">
      <c r="A97" s="307" t="str">
        <f t="shared" si="7"/>
        <v/>
      </c>
      <c r="B97" s="308" t="str">
        <f t="shared" si="8"/>
        <v/>
      </c>
      <c r="C97" s="309" t="str">
        <f t="shared" si="9"/>
        <v/>
      </c>
      <c r="D97" s="309" t="str">
        <f t="shared" si="10"/>
        <v/>
      </c>
      <c r="E97" s="309" t="str">
        <f t="shared" si="11"/>
        <v/>
      </c>
      <c r="F97" s="309" t="str">
        <f t="shared" si="12"/>
        <v/>
      </c>
      <c r="G97" s="309" t="str">
        <f t="shared" si="13"/>
        <v/>
      </c>
      <c r="J97" s="7">
        <v>80</v>
      </c>
    </row>
    <row r="98" spans="1:10">
      <c r="A98" s="307" t="str">
        <f t="shared" si="7"/>
        <v/>
      </c>
      <c r="B98" s="308" t="str">
        <f t="shared" si="8"/>
        <v/>
      </c>
      <c r="C98" s="309" t="str">
        <f t="shared" si="9"/>
        <v/>
      </c>
      <c r="D98" s="309" t="str">
        <f t="shared" si="10"/>
        <v/>
      </c>
      <c r="E98" s="309" t="str">
        <f t="shared" si="11"/>
        <v/>
      </c>
      <c r="F98" s="309" t="str">
        <f t="shared" si="12"/>
        <v/>
      </c>
      <c r="G98" s="309" t="str">
        <f t="shared" si="13"/>
        <v/>
      </c>
      <c r="J98" s="7">
        <v>81</v>
      </c>
    </row>
    <row r="99" spans="1:10">
      <c r="A99" s="307" t="str">
        <f t="shared" si="7"/>
        <v/>
      </c>
      <c r="B99" s="308" t="str">
        <f t="shared" si="8"/>
        <v/>
      </c>
      <c r="C99" s="309" t="str">
        <f t="shared" si="9"/>
        <v/>
      </c>
      <c r="D99" s="309" t="str">
        <f t="shared" si="10"/>
        <v/>
      </c>
      <c r="E99" s="309" t="str">
        <f t="shared" si="11"/>
        <v/>
      </c>
      <c r="F99" s="309" t="str">
        <f t="shared" si="12"/>
        <v/>
      </c>
      <c r="G99" s="309" t="str">
        <f t="shared" si="13"/>
        <v/>
      </c>
      <c r="J99" s="7">
        <v>82</v>
      </c>
    </row>
    <row r="100" spans="1:10">
      <c r="A100" s="307" t="str">
        <f t="shared" si="7"/>
        <v/>
      </c>
      <c r="B100" s="308" t="str">
        <f t="shared" si="8"/>
        <v/>
      </c>
      <c r="C100" s="309" t="str">
        <f t="shared" si="9"/>
        <v/>
      </c>
      <c r="D100" s="309" t="str">
        <f t="shared" si="10"/>
        <v/>
      </c>
      <c r="E100" s="309" t="str">
        <f t="shared" si="11"/>
        <v/>
      </c>
      <c r="F100" s="309" t="str">
        <f t="shared" si="12"/>
        <v/>
      </c>
      <c r="G100" s="309" t="str">
        <f t="shared" si="13"/>
        <v/>
      </c>
      <c r="J100" s="7">
        <v>83</v>
      </c>
    </row>
    <row r="101" spans="1:10">
      <c r="A101" s="307" t="str">
        <f t="shared" si="7"/>
        <v/>
      </c>
      <c r="B101" s="308" t="str">
        <f t="shared" si="8"/>
        <v/>
      </c>
      <c r="C101" s="309" t="str">
        <f t="shared" si="9"/>
        <v/>
      </c>
      <c r="D101" s="309" t="str">
        <f t="shared" si="10"/>
        <v/>
      </c>
      <c r="E101" s="309" t="str">
        <f t="shared" si="11"/>
        <v/>
      </c>
      <c r="F101" s="309" t="str">
        <f t="shared" si="12"/>
        <v/>
      </c>
      <c r="G101" s="309" t="str">
        <f t="shared" si="13"/>
        <v/>
      </c>
      <c r="J101" s="7">
        <v>84</v>
      </c>
    </row>
    <row r="102" spans="1:10">
      <c r="J102" s="7"/>
    </row>
  </sheetData>
  <sheetProtection password="CF95" sheet="1" objects="1" scenarios="1"/>
  <mergeCells count="8">
    <mergeCell ref="D2:G4"/>
    <mergeCell ref="D9:E9"/>
    <mergeCell ref="D10:E10"/>
    <mergeCell ref="D11:E11"/>
    <mergeCell ref="A16:A17"/>
    <mergeCell ref="D16:D17"/>
    <mergeCell ref="E16:E17"/>
    <mergeCell ref="F16:F1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election activeCell="F19" sqref="F19"/>
    </sheetView>
  </sheetViews>
  <sheetFormatPr baseColWidth="10" defaultRowHeight="15"/>
  <sheetData>
    <row r="1" spans="1:10" ht="15" customHeight="1">
      <c r="A1" s="1"/>
      <c r="B1" s="1"/>
      <c r="C1" s="1"/>
      <c r="D1" s="1"/>
      <c r="E1" s="1"/>
      <c r="F1" s="1"/>
      <c r="G1" s="1"/>
      <c r="H1" s="5"/>
    </row>
    <row r="2" spans="1:10" ht="15" customHeight="1">
      <c r="A2" s="1"/>
      <c r="B2" s="1"/>
      <c r="C2" s="2"/>
      <c r="D2" s="1067" t="s">
        <v>454</v>
      </c>
      <c r="E2" s="1067"/>
      <c r="F2" s="1067"/>
      <c r="G2" s="1067"/>
      <c r="H2" s="5"/>
    </row>
    <row r="3" spans="1:10" ht="15" customHeight="1">
      <c r="A3" s="1"/>
      <c r="B3" s="1"/>
      <c r="C3" s="314"/>
      <c r="D3" s="1067"/>
      <c r="E3" s="1067"/>
      <c r="F3" s="1067"/>
      <c r="G3" s="1067"/>
      <c r="H3" s="5"/>
    </row>
    <row r="4" spans="1:10" ht="15" customHeight="1">
      <c r="C4" s="314"/>
      <c r="D4" s="1067"/>
      <c r="E4" s="1067"/>
      <c r="F4" s="1067"/>
      <c r="G4" s="1067"/>
      <c r="H4" s="5"/>
    </row>
    <row r="5" spans="1:10" ht="15" customHeight="1">
      <c r="C5" s="191"/>
      <c r="D5" s="283"/>
      <c r="E5" s="283"/>
      <c r="F5" s="283"/>
      <c r="G5" s="283"/>
      <c r="H5" s="5"/>
    </row>
    <row r="6" spans="1:10">
      <c r="A6" s="120"/>
      <c r="B6" s="284"/>
      <c r="C6" s="284"/>
      <c r="D6" s="284"/>
      <c r="E6" s="284"/>
      <c r="F6" s="284"/>
      <c r="G6" s="284"/>
    </row>
    <row r="7" spans="1:10" ht="6.75" customHeight="1">
      <c r="A7" s="285"/>
      <c r="B7" s="284"/>
      <c r="C7" s="284"/>
      <c r="D7" s="284"/>
      <c r="E7" s="284"/>
      <c r="F7" s="284"/>
      <c r="G7" s="284"/>
    </row>
    <row r="8" spans="1:10">
      <c r="A8" s="286" t="s">
        <v>455</v>
      </c>
      <c r="B8" s="287"/>
      <c r="C8" s="288"/>
      <c r="D8" s="285"/>
      <c r="E8" s="289"/>
      <c r="F8" s="290"/>
      <c r="G8" s="290"/>
    </row>
    <row r="9" spans="1:10">
      <c r="A9" s="284"/>
      <c r="B9" s="291" t="s">
        <v>439</v>
      </c>
      <c r="C9" s="292">
        <f>Fin!B56</f>
        <v>0</v>
      </c>
      <c r="D9" s="1068" t="s">
        <v>440</v>
      </c>
      <c r="E9" s="1068"/>
      <c r="F9" s="293">
        <f>IFERROR(F18,0)</f>
        <v>0</v>
      </c>
      <c r="G9" s="294"/>
    </row>
    <row r="10" spans="1:10">
      <c r="A10" s="284"/>
      <c r="B10" s="291" t="s">
        <v>441</v>
      </c>
      <c r="C10" s="295">
        <f>Fin!C56</f>
        <v>0</v>
      </c>
      <c r="D10" s="1069" t="s">
        <v>442</v>
      </c>
      <c r="E10" s="1069"/>
      <c r="F10" s="296">
        <f>(1+C10)^(1/12)-1</f>
        <v>0</v>
      </c>
      <c r="G10" s="297"/>
    </row>
    <row r="11" spans="1:10">
      <c r="A11" s="284"/>
      <c r="B11" s="291" t="s">
        <v>443</v>
      </c>
      <c r="C11" s="298">
        <f>Fin!D56</f>
        <v>0</v>
      </c>
      <c r="D11" s="1069" t="s">
        <v>444</v>
      </c>
      <c r="E11" s="1069"/>
      <c r="F11" s="299">
        <f>IFERROR(SUM(D18:D101),0)</f>
        <v>0</v>
      </c>
      <c r="G11" s="284"/>
    </row>
    <row r="12" spans="1:10">
      <c r="A12" s="284"/>
      <c r="B12" s="291" t="s">
        <v>445</v>
      </c>
      <c r="C12" s="300">
        <f>Fin!E56</f>
        <v>0</v>
      </c>
      <c r="D12" s="285"/>
      <c r="E12" s="284"/>
      <c r="F12" s="284"/>
      <c r="G12" s="284"/>
    </row>
    <row r="13" spans="1:10" ht="8.25" customHeight="1">
      <c r="A13" s="285"/>
      <c r="B13" s="301"/>
      <c r="C13" s="302"/>
      <c r="D13" s="285"/>
      <c r="E13" s="285"/>
      <c r="F13" s="301"/>
      <c r="G13" s="303"/>
    </row>
    <row r="14" spans="1:10" ht="18">
      <c r="A14" s="304" t="s">
        <v>446</v>
      </c>
      <c r="B14" s="304"/>
      <c r="C14" s="304"/>
      <c r="D14" s="304"/>
      <c r="E14" s="304"/>
      <c r="F14" s="304"/>
      <c r="G14" s="304"/>
      <c r="J14" s="310"/>
    </row>
    <row r="15" spans="1:10">
      <c r="A15" s="285"/>
      <c r="B15" s="285"/>
      <c r="C15" s="285"/>
      <c r="D15" s="285"/>
      <c r="E15" s="285"/>
      <c r="F15" s="285"/>
      <c r="G15" s="285"/>
    </row>
    <row r="16" spans="1:10">
      <c r="A16" s="1070" t="s">
        <v>447</v>
      </c>
      <c r="B16" s="305" t="s">
        <v>448</v>
      </c>
      <c r="C16" s="305" t="s">
        <v>449</v>
      </c>
      <c r="D16" s="1072" t="s">
        <v>16</v>
      </c>
      <c r="E16" s="1072" t="s">
        <v>450</v>
      </c>
      <c r="F16" s="1072" t="s">
        <v>353</v>
      </c>
      <c r="G16" s="305" t="s">
        <v>16</v>
      </c>
    </row>
    <row r="17" spans="1:10">
      <c r="A17" s="1071"/>
      <c r="B17" s="306" t="s">
        <v>451</v>
      </c>
      <c r="C17" s="306" t="s">
        <v>452</v>
      </c>
      <c r="D17" s="1073"/>
      <c r="E17" s="1073"/>
      <c r="F17" s="1073"/>
      <c r="G17" s="306" t="s">
        <v>453</v>
      </c>
    </row>
    <row r="18" spans="1:10">
      <c r="A18" s="307" t="str">
        <f>IF(J18&lt;=C$11,J18,"")</f>
        <v/>
      </c>
      <c r="B18" s="308">
        <f>IF(ISBLANK(A18),"",C12)</f>
        <v>0</v>
      </c>
      <c r="C18" s="309">
        <f>Montant_prêt</f>
        <v>0</v>
      </c>
      <c r="D18" s="309">
        <f>C18*F10</f>
        <v>0</v>
      </c>
      <c r="E18" s="309">
        <f>IFERROR(F18-D18,0)</f>
        <v>0</v>
      </c>
      <c r="F18" s="309">
        <f>IFERROR((Montant_prêt*F10)/((1-(1+F10)^(-C11))),0)</f>
        <v>0</v>
      </c>
      <c r="G18" s="309">
        <f>D18</f>
        <v>0</v>
      </c>
      <c r="J18" s="7">
        <v>1</v>
      </c>
    </row>
    <row r="19" spans="1:10">
      <c r="A19" s="307" t="str">
        <f t="shared" ref="A19:A82" si="0">IF(J19&lt;=C$11,J19,"")</f>
        <v/>
      </c>
      <c r="B19" s="308" t="str">
        <f>IF(A19&gt;C$11,"",EDATE(B18,1))</f>
        <v/>
      </c>
      <c r="C19" s="309" t="str">
        <f>IF(A19&gt;C$11,"",C18-E18)</f>
        <v/>
      </c>
      <c r="D19" s="309" t="str">
        <f t="shared" ref="D19:D80" si="1">IF(A19&gt;C$11,"",C19*F$10)</f>
        <v/>
      </c>
      <c r="E19" s="309" t="str">
        <f>IF(A19&gt;C$11,"",F19-D19)</f>
        <v/>
      </c>
      <c r="F19" s="309" t="str">
        <f>IF(A19&gt;C$11,"",F$18)</f>
        <v/>
      </c>
      <c r="G19" s="309" t="str">
        <f>IFERROR(D19+G18,"")</f>
        <v/>
      </c>
      <c r="J19" s="7">
        <v>2</v>
      </c>
    </row>
    <row r="20" spans="1:10">
      <c r="A20" s="307" t="str">
        <f t="shared" si="0"/>
        <v/>
      </c>
      <c r="B20" s="308" t="str">
        <f t="shared" ref="B20:B83" si="2">IF(A20&gt;C$11,"",EDATE(B19,1))</f>
        <v/>
      </c>
      <c r="C20" s="309" t="str">
        <f t="shared" ref="C20:C83" si="3">IF(A20&gt;C$11,"",C19-E19)</f>
        <v/>
      </c>
      <c r="D20" s="309" t="str">
        <f t="shared" si="1"/>
        <v/>
      </c>
      <c r="E20" s="309" t="str">
        <f t="shared" ref="E20:E83" si="4">IF(A20&gt;C$11,"",F20-D20)</f>
        <v/>
      </c>
      <c r="F20" s="309" t="str">
        <f t="shared" ref="F20:F83" si="5">IF(A20&gt;C$11,"",F$18)</f>
        <v/>
      </c>
      <c r="G20" s="309" t="str">
        <f t="shared" ref="G20:G83" si="6">IFERROR(D20+G19,"")</f>
        <v/>
      </c>
      <c r="J20" s="7">
        <v>3</v>
      </c>
    </row>
    <row r="21" spans="1:10">
      <c r="A21" s="307" t="str">
        <f t="shared" si="0"/>
        <v/>
      </c>
      <c r="B21" s="308" t="str">
        <f t="shared" si="2"/>
        <v/>
      </c>
      <c r="C21" s="309" t="str">
        <f t="shared" si="3"/>
        <v/>
      </c>
      <c r="D21" s="309" t="str">
        <f t="shared" si="1"/>
        <v/>
      </c>
      <c r="E21" s="309" t="str">
        <f t="shared" si="4"/>
        <v/>
      </c>
      <c r="F21" s="309" t="str">
        <f t="shared" si="5"/>
        <v/>
      </c>
      <c r="G21" s="309" t="str">
        <f t="shared" si="6"/>
        <v/>
      </c>
      <c r="J21" s="7">
        <v>4</v>
      </c>
    </row>
    <row r="22" spans="1:10">
      <c r="A22" s="307" t="str">
        <f t="shared" si="0"/>
        <v/>
      </c>
      <c r="B22" s="308" t="str">
        <f t="shared" si="2"/>
        <v/>
      </c>
      <c r="C22" s="309" t="str">
        <f t="shared" si="3"/>
        <v/>
      </c>
      <c r="D22" s="309" t="str">
        <f t="shared" si="1"/>
        <v/>
      </c>
      <c r="E22" s="309" t="str">
        <f t="shared" si="4"/>
        <v/>
      </c>
      <c r="F22" s="309" t="str">
        <f t="shared" si="5"/>
        <v/>
      </c>
      <c r="G22" s="309" t="str">
        <f t="shared" si="6"/>
        <v/>
      </c>
      <c r="J22" s="7">
        <v>5</v>
      </c>
    </row>
    <row r="23" spans="1:10">
      <c r="A23" s="307" t="str">
        <f t="shared" si="0"/>
        <v/>
      </c>
      <c r="B23" s="308" t="str">
        <f t="shared" si="2"/>
        <v/>
      </c>
      <c r="C23" s="309" t="str">
        <f t="shared" si="3"/>
        <v/>
      </c>
      <c r="D23" s="309" t="str">
        <f t="shared" si="1"/>
        <v/>
      </c>
      <c r="E23" s="309" t="str">
        <f t="shared" si="4"/>
        <v/>
      </c>
      <c r="F23" s="309" t="str">
        <f t="shared" si="5"/>
        <v/>
      </c>
      <c r="G23" s="309" t="str">
        <f t="shared" si="6"/>
        <v/>
      </c>
      <c r="J23" s="7">
        <v>6</v>
      </c>
    </row>
    <row r="24" spans="1:10">
      <c r="A24" s="307" t="str">
        <f t="shared" si="0"/>
        <v/>
      </c>
      <c r="B24" s="308" t="str">
        <f t="shared" si="2"/>
        <v/>
      </c>
      <c r="C24" s="309" t="str">
        <f t="shared" si="3"/>
        <v/>
      </c>
      <c r="D24" s="309" t="str">
        <f t="shared" si="1"/>
        <v/>
      </c>
      <c r="E24" s="309" t="str">
        <f t="shared" si="4"/>
        <v/>
      </c>
      <c r="F24" s="309" t="str">
        <f t="shared" si="5"/>
        <v/>
      </c>
      <c r="G24" s="309" t="str">
        <f t="shared" si="6"/>
        <v/>
      </c>
      <c r="J24" s="7">
        <v>7</v>
      </c>
    </row>
    <row r="25" spans="1:10">
      <c r="A25" s="307" t="str">
        <f t="shared" si="0"/>
        <v/>
      </c>
      <c r="B25" s="308" t="str">
        <f t="shared" si="2"/>
        <v/>
      </c>
      <c r="C25" s="309" t="str">
        <f t="shared" si="3"/>
        <v/>
      </c>
      <c r="D25" s="309" t="str">
        <f t="shared" si="1"/>
        <v/>
      </c>
      <c r="E25" s="309" t="str">
        <f t="shared" si="4"/>
        <v/>
      </c>
      <c r="F25" s="309" t="str">
        <f t="shared" si="5"/>
        <v/>
      </c>
      <c r="G25" s="309" t="str">
        <f t="shared" si="6"/>
        <v/>
      </c>
      <c r="J25" s="7">
        <v>8</v>
      </c>
    </row>
    <row r="26" spans="1:10">
      <c r="A26" s="307" t="str">
        <f t="shared" si="0"/>
        <v/>
      </c>
      <c r="B26" s="308" t="str">
        <f t="shared" si="2"/>
        <v/>
      </c>
      <c r="C26" s="309" t="str">
        <f t="shared" si="3"/>
        <v/>
      </c>
      <c r="D26" s="309" t="str">
        <f t="shared" si="1"/>
        <v/>
      </c>
      <c r="E26" s="309" t="str">
        <f t="shared" si="4"/>
        <v/>
      </c>
      <c r="F26" s="309" t="str">
        <f t="shared" si="5"/>
        <v/>
      </c>
      <c r="G26" s="309" t="str">
        <f t="shared" si="6"/>
        <v/>
      </c>
      <c r="J26" s="7">
        <v>9</v>
      </c>
    </row>
    <row r="27" spans="1:10">
      <c r="A27" s="307" t="str">
        <f t="shared" si="0"/>
        <v/>
      </c>
      <c r="B27" s="308" t="str">
        <f t="shared" si="2"/>
        <v/>
      </c>
      <c r="C27" s="309" t="str">
        <f t="shared" si="3"/>
        <v/>
      </c>
      <c r="D27" s="309" t="str">
        <f t="shared" si="1"/>
        <v/>
      </c>
      <c r="E27" s="309" t="str">
        <f t="shared" si="4"/>
        <v/>
      </c>
      <c r="F27" s="309" t="str">
        <f t="shared" si="5"/>
        <v/>
      </c>
      <c r="G27" s="309" t="str">
        <f t="shared" si="6"/>
        <v/>
      </c>
      <c r="J27" s="7">
        <v>10</v>
      </c>
    </row>
    <row r="28" spans="1:10">
      <c r="A28" s="307" t="str">
        <f t="shared" si="0"/>
        <v/>
      </c>
      <c r="B28" s="308" t="str">
        <f t="shared" si="2"/>
        <v/>
      </c>
      <c r="C28" s="309" t="str">
        <f t="shared" si="3"/>
        <v/>
      </c>
      <c r="D28" s="309" t="str">
        <f t="shared" si="1"/>
        <v/>
      </c>
      <c r="E28" s="309" t="str">
        <f t="shared" si="4"/>
        <v/>
      </c>
      <c r="F28" s="309" t="str">
        <f t="shared" si="5"/>
        <v/>
      </c>
      <c r="G28" s="309" t="str">
        <f t="shared" si="6"/>
        <v/>
      </c>
      <c r="J28" s="7">
        <v>11</v>
      </c>
    </row>
    <row r="29" spans="1:10">
      <c r="A29" s="307" t="str">
        <f t="shared" si="0"/>
        <v/>
      </c>
      <c r="B29" s="308" t="str">
        <f t="shared" si="2"/>
        <v/>
      </c>
      <c r="C29" s="309" t="str">
        <f t="shared" si="3"/>
        <v/>
      </c>
      <c r="D29" s="309" t="str">
        <f t="shared" si="1"/>
        <v/>
      </c>
      <c r="E29" s="309" t="str">
        <f t="shared" si="4"/>
        <v/>
      </c>
      <c r="F29" s="309" t="str">
        <f t="shared" si="5"/>
        <v/>
      </c>
      <c r="G29" s="309" t="str">
        <f t="shared" si="6"/>
        <v/>
      </c>
      <c r="J29" s="7">
        <v>12</v>
      </c>
    </row>
    <row r="30" spans="1:10">
      <c r="A30" s="307" t="str">
        <f t="shared" si="0"/>
        <v/>
      </c>
      <c r="B30" s="308" t="str">
        <f t="shared" si="2"/>
        <v/>
      </c>
      <c r="C30" s="309" t="str">
        <f t="shared" si="3"/>
        <v/>
      </c>
      <c r="D30" s="309" t="str">
        <f t="shared" si="1"/>
        <v/>
      </c>
      <c r="E30" s="309" t="str">
        <f t="shared" si="4"/>
        <v/>
      </c>
      <c r="F30" s="309" t="str">
        <f t="shared" si="5"/>
        <v/>
      </c>
      <c r="G30" s="309" t="str">
        <f t="shared" si="6"/>
        <v/>
      </c>
      <c r="J30" s="7">
        <v>13</v>
      </c>
    </row>
    <row r="31" spans="1:10">
      <c r="A31" s="307" t="str">
        <f t="shared" si="0"/>
        <v/>
      </c>
      <c r="B31" s="308" t="str">
        <f t="shared" si="2"/>
        <v/>
      </c>
      <c r="C31" s="309" t="str">
        <f t="shared" si="3"/>
        <v/>
      </c>
      <c r="D31" s="309" t="str">
        <f t="shared" si="1"/>
        <v/>
      </c>
      <c r="E31" s="309" t="str">
        <f t="shared" si="4"/>
        <v/>
      </c>
      <c r="F31" s="309" t="str">
        <f t="shared" si="5"/>
        <v/>
      </c>
      <c r="G31" s="309" t="str">
        <f t="shared" si="6"/>
        <v/>
      </c>
      <c r="J31" s="7">
        <v>14</v>
      </c>
    </row>
    <row r="32" spans="1:10">
      <c r="A32" s="307" t="str">
        <f t="shared" si="0"/>
        <v/>
      </c>
      <c r="B32" s="308" t="str">
        <f t="shared" si="2"/>
        <v/>
      </c>
      <c r="C32" s="309" t="str">
        <f t="shared" si="3"/>
        <v/>
      </c>
      <c r="D32" s="309" t="str">
        <f t="shared" si="1"/>
        <v/>
      </c>
      <c r="E32" s="309" t="str">
        <f t="shared" si="4"/>
        <v/>
      </c>
      <c r="F32" s="309" t="str">
        <f t="shared" si="5"/>
        <v/>
      </c>
      <c r="G32" s="309" t="str">
        <f t="shared" si="6"/>
        <v/>
      </c>
      <c r="J32" s="7">
        <v>15</v>
      </c>
    </row>
    <row r="33" spans="1:10">
      <c r="A33" s="307" t="str">
        <f t="shared" si="0"/>
        <v/>
      </c>
      <c r="B33" s="308" t="str">
        <f t="shared" si="2"/>
        <v/>
      </c>
      <c r="C33" s="309" t="str">
        <f t="shared" si="3"/>
        <v/>
      </c>
      <c r="D33" s="309" t="str">
        <f t="shared" si="1"/>
        <v/>
      </c>
      <c r="E33" s="309" t="str">
        <f t="shared" si="4"/>
        <v/>
      </c>
      <c r="F33" s="309" t="str">
        <f t="shared" si="5"/>
        <v/>
      </c>
      <c r="G33" s="309" t="str">
        <f t="shared" si="6"/>
        <v/>
      </c>
      <c r="J33" s="7">
        <v>16</v>
      </c>
    </row>
    <row r="34" spans="1:10">
      <c r="A34" s="307" t="str">
        <f t="shared" si="0"/>
        <v/>
      </c>
      <c r="B34" s="308" t="str">
        <f t="shared" si="2"/>
        <v/>
      </c>
      <c r="C34" s="309" t="str">
        <f t="shared" si="3"/>
        <v/>
      </c>
      <c r="D34" s="309" t="str">
        <f t="shared" si="1"/>
        <v/>
      </c>
      <c r="E34" s="309" t="str">
        <f t="shared" si="4"/>
        <v/>
      </c>
      <c r="F34" s="309" t="str">
        <f t="shared" si="5"/>
        <v/>
      </c>
      <c r="G34" s="309" t="str">
        <f t="shared" si="6"/>
        <v/>
      </c>
      <c r="J34" s="7">
        <v>17</v>
      </c>
    </row>
    <row r="35" spans="1:10">
      <c r="A35" s="307" t="str">
        <f t="shared" si="0"/>
        <v/>
      </c>
      <c r="B35" s="308" t="str">
        <f t="shared" si="2"/>
        <v/>
      </c>
      <c r="C35" s="309" t="str">
        <f t="shared" si="3"/>
        <v/>
      </c>
      <c r="D35" s="309" t="str">
        <f t="shared" si="1"/>
        <v/>
      </c>
      <c r="E35" s="309" t="str">
        <f t="shared" si="4"/>
        <v/>
      </c>
      <c r="F35" s="309" t="str">
        <f t="shared" si="5"/>
        <v/>
      </c>
      <c r="G35" s="309" t="str">
        <f t="shared" si="6"/>
        <v/>
      </c>
      <c r="J35" s="7">
        <v>18</v>
      </c>
    </row>
    <row r="36" spans="1:10">
      <c r="A36" s="307" t="str">
        <f t="shared" si="0"/>
        <v/>
      </c>
      <c r="B36" s="308" t="str">
        <f t="shared" si="2"/>
        <v/>
      </c>
      <c r="C36" s="309" t="str">
        <f t="shared" si="3"/>
        <v/>
      </c>
      <c r="D36" s="309" t="str">
        <f t="shared" si="1"/>
        <v/>
      </c>
      <c r="E36" s="309" t="str">
        <f t="shared" si="4"/>
        <v/>
      </c>
      <c r="F36" s="309" t="str">
        <f t="shared" si="5"/>
        <v/>
      </c>
      <c r="G36" s="309" t="str">
        <f t="shared" si="6"/>
        <v/>
      </c>
      <c r="J36" s="7">
        <v>19</v>
      </c>
    </row>
    <row r="37" spans="1:10">
      <c r="A37" s="307" t="str">
        <f t="shared" si="0"/>
        <v/>
      </c>
      <c r="B37" s="308" t="str">
        <f t="shared" si="2"/>
        <v/>
      </c>
      <c r="C37" s="309" t="str">
        <f t="shared" si="3"/>
        <v/>
      </c>
      <c r="D37" s="309" t="str">
        <f t="shared" si="1"/>
        <v/>
      </c>
      <c r="E37" s="309" t="str">
        <f t="shared" si="4"/>
        <v/>
      </c>
      <c r="F37" s="309" t="str">
        <f t="shared" si="5"/>
        <v/>
      </c>
      <c r="G37" s="309" t="str">
        <f t="shared" si="6"/>
        <v/>
      </c>
      <c r="J37" s="7">
        <v>20</v>
      </c>
    </row>
    <row r="38" spans="1:10">
      <c r="A38" s="307" t="str">
        <f t="shared" si="0"/>
        <v/>
      </c>
      <c r="B38" s="308" t="str">
        <f t="shared" si="2"/>
        <v/>
      </c>
      <c r="C38" s="309" t="str">
        <f t="shared" si="3"/>
        <v/>
      </c>
      <c r="D38" s="309" t="str">
        <f t="shared" si="1"/>
        <v/>
      </c>
      <c r="E38" s="309" t="str">
        <f t="shared" si="4"/>
        <v/>
      </c>
      <c r="F38" s="309" t="str">
        <f t="shared" si="5"/>
        <v/>
      </c>
      <c r="G38" s="309" t="str">
        <f t="shared" si="6"/>
        <v/>
      </c>
      <c r="J38" s="7">
        <v>21</v>
      </c>
    </row>
    <row r="39" spans="1:10">
      <c r="A39" s="307" t="str">
        <f t="shared" si="0"/>
        <v/>
      </c>
      <c r="B39" s="308" t="str">
        <f t="shared" si="2"/>
        <v/>
      </c>
      <c r="C39" s="309" t="str">
        <f t="shared" si="3"/>
        <v/>
      </c>
      <c r="D39" s="309" t="str">
        <f t="shared" si="1"/>
        <v/>
      </c>
      <c r="E39" s="309" t="str">
        <f t="shared" si="4"/>
        <v/>
      </c>
      <c r="F39" s="309" t="str">
        <f t="shared" si="5"/>
        <v/>
      </c>
      <c r="G39" s="309" t="str">
        <f t="shared" si="6"/>
        <v/>
      </c>
      <c r="J39" s="7">
        <v>22</v>
      </c>
    </row>
    <row r="40" spans="1:10">
      <c r="A40" s="307" t="str">
        <f t="shared" si="0"/>
        <v/>
      </c>
      <c r="B40" s="308" t="str">
        <f t="shared" si="2"/>
        <v/>
      </c>
      <c r="C40" s="309" t="str">
        <f t="shared" si="3"/>
        <v/>
      </c>
      <c r="D40" s="309" t="str">
        <f t="shared" si="1"/>
        <v/>
      </c>
      <c r="E40" s="309" t="str">
        <f t="shared" si="4"/>
        <v/>
      </c>
      <c r="F40" s="309" t="str">
        <f t="shared" si="5"/>
        <v/>
      </c>
      <c r="G40" s="309" t="str">
        <f t="shared" si="6"/>
        <v/>
      </c>
      <c r="J40" s="7">
        <v>23</v>
      </c>
    </row>
    <row r="41" spans="1:10">
      <c r="A41" s="307" t="str">
        <f t="shared" si="0"/>
        <v/>
      </c>
      <c r="B41" s="308" t="str">
        <f t="shared" si="2"/>
        <v/>
      </c>
      <c r="C41" s="309" t="str">
        <f t="shared" si="3"/>
        <v/>
      </c>
      <c r="D41" s="309" t="str">
        <f t="shared" si="1"/>
        <v/>
      </c>
      <c r="E41" s="309" t="str">
        <f t="shared" si="4"/>
        <v/>
      </c>
      <c r="F41" s="309" t="str">
        <f t="shared" si="5"/>
        <v/>
      </c>
      <c r="G41" s="309" t="str">
        <f t="shared" si="6"/>
        <v/>
      </c>
      <c r="J41" s="7">
        <v>24</v>
      </c>
    </row>
    <row r="42" spans="1:10">
      <c r="A42" s="307" t="str">
        <f t="shared" si="0"/>
        <v/>
      </c>
      <c r="B42" s="308" t="str">
        <f t="shared" si="2"/>
        <v/>
      </c>
      <c r="C42" s="309" t="str">
        <f t="shared" si="3"/>
        <v/>
      </c>
      <c r="D42" s="309" t="str">
        <f t="shared" si="1"/>
        <v/>
      </c>
      <c r="E42" s="309" t="str">
        <f t="shared" si="4"/>
        <v/>
      </c>
      <c r="F42" s="309" t="str">
        <f t="shared" si="5"/>
        <v/>
      </c>
      <c r="G42" s="309" t="str">
        <f t="shared" si="6"/>
        <v/>
      </c>
      <c r="J42" s="7">
        <v>25</v>
      </c>
    </row>
    <row r="43" spans="1:10">
      <c r="A43" s="307" t="str">
        <f t="shared" si="0"/>
        <v/>
      </c>
      <c r="B43" s="308" t="str">
        <f t="shared" si="2"/>
        <v/>
      </c>
      <c r="C43" s="309" t="str">
        <f t="shared" si="3"/>
        <v/>
      </c>
      <c r="D43" s="309" t="str">
        <f t="shared" si="1"/>
        <v/>
      </c>
      <c r="E43" s="309" t="str">
        <f t="shared" si="4"/>
        <v/>
      </c>
      <c r="F43" s="309" t="str">
        <f t="shared" si="5"/>
        <v/>
      </c>
      <c r="G43" s="309" t="str">
        <f t="shared" si="6"/>
        <v/>
      </c>
      <c r="J43" s="7">
        <v>26</v>
      </c>
    </row>
    <row r="44" spans="1:10">
      <c r="A44" s="307" t="str">
        <f t="shared" si="0"/>
        <v/>
      </c>
      <c r="B44" s="308" t="str">
        <f t="shared" si="2"/>
        <v/>
      </c>
      <c r="C44" s="309" t="str">
        <f t="shared" si="3"/>
        <v/>
      </c>
      <c r="D44" s="309" t="str">
        <f t="shared" si="1"/>
        <v/>
      </c>
      <c r="E44" s="309" t="str">
        <f t="shared" si="4"/>
        <v/>
      </c>
      <c r="F44" s="309" t="str">
        <f t="shared" si="5"/>
        <v/>
      </c>
      <c r="G44" s="309" t="str">
        <f t="shared" si="6"/>
        <v/>
      </c>
      <c r="J44" s="7">
        <v>27</v>
      </c>
    </row>
    <row r="45" spans="1:10">
      <c r="A45" s="307" t="str">
        <f t="shared" si="0"/>
        <v/>
      </c>
      <c r="B45" s="308" t="str">
        <f t="shared" si="2"/>
        <v/>
      </c>
      <c r="C45" s="309" t="str">
        <f t="shared" si="3"/>
        <v/>
      </c>
      <c r="D45" s="309" t="str">
        <f t="shared" si="1"/>
        <v/>
      </c>
      <c r="E45" s="309" t="str">
        <f t="shared" si="4"/>
        <v/>
      </c>
      <c r="F45" s="309" t="str">
        <f t="shared" si="5"/>
        <v/>
      </c>
      <c r="G45" s="309" t="str">
        <f t="shared" si="6"/>
        <v/>
      </c>
      <c r="J45" s="7">
        <v>28</v>
      </c>
    </row>
    <row r="46" spans="1:10">
      <c r="A46" s="307" t="str">
        <f t="shared" si="0"/>
        <v/>
      </c>
      <c r="B46" s="308" t="str">
        <f t="shared" si="2"/>
        <v/>
      </c>
      <c r="C46" s="309" t="str">
        <f t="shared" si="3"/>
        <v/>
      </c>
      <c r="D46" s="309" t="str">
        <f t="shared" si="1"/>
        <v/>
      </c>
      <c r="E46" s="309" t="str">
        <f t="shared" si="4"/>
        <v/>
      </c>
      <c r="F46" s="309" t="str">
        <f t="shared" si="5"/>
        <v/>
      </c>
      <c r="G46" s="309" t="str">
        <f t="shared" si="6"/>
        <v/>
      </c>
      <c r="J46" s="7">
        <v>29</v>
      </c>
    </row>
    <row r="47" spans="1:10">
      <c r="A47" s="307" t="str">
        <f t="shared" si="0"/>
        <v/>
      </c>
      <c r="B47" s="308" t="str">
        <f t="shared" si="2"/>
        <v/>
      </c>
      <c r="C47" s="309" t="str">
        <f t="shared" si="3"/>
        <v/>
      </c>
      <c r="D47" s="309" t="str">
        <f t="shared" si="1"/>
        <v/>
      </c>
      <c r="E47" s="309" t="str">
        <f t="shared" si="4"/>
        <v/>
      </c>
      <c r="F47" s="309" t="str">
        <f t="shared" si="5"/>
        <v/>
      </c>
      <c r="G47" s="309" t="str">
        <f t="shared" si="6"/>
        <v/>
      </c>
      <c r="J47" s="7">
        <v>30</v>
      </c>
    </row>
    <row r="48" spans="1:10">
      <c r="A48" s="307" t="str">
        <f t="shared" si="0"/>
        <v/>
      </c>
      <c r="B48" s="308" t="str">
        <f t="shared" si="2"/>
        <v/>
      </c>
      <c r="C48" s="309" t="str">
        <f t="shared" si="3"/>
        <v/>
      </c>
      <c r="D48" s="309" t="str">
        <f t="shared" si="1"/>
        <v/>
      </c>
      <c r="E48" s="309" t="str">
        <f t="shared" si="4"/>
        <v/>
      </c>
      <c r="F48" s="309" t="str">
        <f t="shared" si="5"/>
        <v/>
      </c>
      <c r="G48" s="309" t="str">
        <f t="shared" si="6"/>
        <v/>
      </c>
      <c r="J48" s="7">
        <v>31</v>
      </c>
    </row>
    <row r="49" spans="1:10">
      <c r="A49" s="307" t="str">
        <f t="shared" si="0"/>
        <v/>
      </c>
      <c r="B49" s="308" t="str">
        <f t="shared" si="2"/>
        <v/>
      </c>
      <c r="C49" s="309" t="str">
        <f t="shared" si="3"/>
        <v/>
      </c>
      <c r="D49" s="309" t="str">
        <f t="shared" si="1"/>
        <v/>
      </c>
      <c r="E49" s="309" t="str">
        <f t="shared" si="4"/>
        <v/>
      </c>
      <c r="F49" s="309" t="str">
        <f t="shared" si="5"/>
        <v/>
      </c>
      <c r="G49" s="309" t="str">
        <f t="shared" si="6"/>
        <v/>
      </c>
      <c r="J49" s="7">
        <v>32</v>
      </c>
    </row>
    <row r="50" spans="1:10">
      <c r="A50" s="307" t="str">
        <f t="shared" si="0"/>
        <v/>
      </c>
      <c r="B50" s="308" t="str">
        <f t="shared" si="2"/>
        <v/>
      </c>
      <c r="C50" s="309" t="str">
        <f t="shared" si="3"/>
        <v/>
      </c>
      <c r="D50" s="309" t="str">
        <f t="shared" si="1"/>
        <v/>
      </c>
      <c r="E50" s="309" t="str">
        <f t="shared" si="4"/>
        <v/>
      </c>
      <c r="F50" s="309" t="str">
        <f t="shared" si="5"/>
        <v/>
      </c>
      <c r="G50" s="309" t="str">
        <f t="shared" si="6"/>
        <v/>
      </c>
      <c r="J50" s="7">
        <v>33</v>
      </c>
    </row>
    <row r="51" spans="1:10">
      <c r="A51" s="307" t="str">
        <f t="shared" si="0"/>
        <v/>
      </c>
      <c r="B51" s="308" t="str">
        <f t="shared" si="2"/>
        <v/>
      </c>
      <c r="C51" s="309" t="str">
        <f t="shared" si="3"/>
        <v/>
      </c>
      <c r="D51" s="309" t="str">
        <f t="shared" si="1"/>
        <v/>
      </c>
      <c r="E51" s="309" t="str">
        <f t="shared" si="4"/>
        <v/>
      </c>
      <c r="F51" s="309" t="str">
        <f t="shared" si="5"/>
        <v/>
      </c>
      <c r="G51" s="309" t="str">
        <f t="shared" si="6"/>
        <v/>
      </c>
      <c r="J51" s="7">
        <v>34</v>
      </c>
    </row>
    <row r="52" spans="1:10">
      <c r="A52" s="307" t="str">
        <f t="shared" si="0"/>
        <v/>
      </c>
      <c r="B52" s="308" t="str">
        <f t="shared" si="2"/>
        <v/>
      </c>
      <c r="C52" s="309" t="str">
        <f t="shared" si="3"/>
        <v/>
      </c>
      <c r="D52" s="309" t="str">
        <f t="shared" si="1"/>
        <v/>
      </c>
      <c r="E52" s="309" t="str">
        <f t="shared" si="4"/>
        <v/>
      </c>
      <c r="F52" s="309" t="str">
        <f t="shared" si="5"/>
        <v/>
      </c>
      <c r="G52" s="309" t="str">
        <f t="shared" si="6"/>
        <v/>
      </c>
      <c r="J52" s="7">
        <v>35</v>
      </c>
    </row>
    <row r="53" spans="1:10">
      <c r="A53" s="307" t="str">
        <f t="shared" si="0"/>
        <v/>
      </c>
      <c r="B53" s="308" t="str">
        <f t="shared" si="2"/>
        <v/>
      </c>
      <c r="C53" s="309" t="str">
        <f t="shared" si="3"/>
        <v/>
      </c>
      <c r="D53" s="309" t="str">
        <f t="shared" si="1"/>
        <v/>
      </c>
      <c r="E53" s="309" t="str">
        <f t="shared" si="4"/>
        <v/>
      </c>
      <c r="F53" s="309" t="str">
        <f t="shared" si="5"/>
        <v/>
      </c>
      <c r="G53" s="309" t="str">
        <f t="shared" si="6"/>
        <v/>
      </c>
      <c r="J53" s="7">
        <v>36</v>
      </c>
    </row>
    <row r="54" spans="1:10">
      <c r="A54" s="307" t="str">
        <f t="shared" si="0"/>
        <v/>
      </c>
      <c r="B54" s="308" t="str">
        <f t="shared" si="2"/>
        <v/>
      </c>
      <c r="C54" s="309" t="str">
        <f t="shared" si="3"/>
        <v/>
      </c>
      <c r="D54" s="309" t="str">
        <f t="shared" si="1"/>
        <v/>
      </c>
      <c r="E54" s="309" t="str">
        <f t="shared" si="4"/>
        <v/>
      </c>
      <c r="F54" s="309" t="str">
        <f t="shared" si="5"/>
        <v/>
      </c>
      <c r="G54" s="309" t="str">
        <f t="shared" si="6"/>
        <v/>
      </c>
      <c r="J54" s="7">
        <v>37</v>
      </c>
    </row>
    <row r="55" spans="1:10">
      <c r="A55" s="307" t="str">
        <f t="shared" si="0"/>
        <v/>
      </c>
      <c r="B55" s="308" t="str">
        <f t="shared" si="2"/>
        <v/>
      </c>
      <c r="C55" s="309" t="str">
        <f t="shared" si="3"/>
        <v/>
      </c>
      <c r="D55" s="309" t="str">
        <f t="shared" si="1"/>
        <v/>
      </c>
      <c r="E55" s="309" t="str">
        <f t="shared" si="4"/>
        <v/>
      </c>
      <c r="F55" s="309" t="str">
        <f t="shared" si="5"/>
        <v/>
      </c>
      <c r="G55" s="309" t="str">
        <f t="shared" si="6"/>
        <v/>
      </c>
      <c r="J55" s="7">
        <v>38</v>
      </c>
    </row>
    <row r="56" spans="1:10">
      <c r="A56" s="307" t="str">
        <f t="shared" si="0"/>
        <v/>
      </c>
      <c r="B56" s="308" t="str">
        <f t="shared" si="2"/>
        <v/>
      </c>
      <c r="C56" s="309" t="str">
        <f t="shared" si="3"/>
        <v/>
      </c>
      <c r="D56" s="309" t="str">
        <f t="shared" si="1"/>
        <v/>
      </c>
      <c r="E56" s="309" t="str">
        <f t="shared" si="4"/>
        <v/>
      </c>
      <c r="F56" s="309" t="str">
        <f t="shared" si="5"/>
        <v/>
      </c>
      <c r="G56" s="309" t="str">
        <f t="shared" si="6"/>
        <v/>
      </c>
      <c r="J56" s="7">
        <v>39</v>
      </c>
    </row>
    <row r="57" spans="1:10">
      <c r="A57" s="307" t="str">
        <f t="shared" si="0"/>
        <v/>
      </c>
      <c r="B57" s="308" t="str">
        <f t="shared" si="2"/>
        <v/>
      </c>
      <c r="C57" s="309" t="str">
        <f t="shared" si="3"/>
        <v/>
      </c>
      <c r="D57" s="309" t="str">
        <f t="shared" si="1"/>
        <v/>
      </c>
      <c r="E57" s="309" t="str">
        <f t="shared" si="4"/>
        <v/>
      </c>
      <c r="F57" s="309" t="str">
        <f t="shared" si="5"/>
        <v/>
      </c>
      <c r="G57" s="309" t="str">
        <f t="shared" si="6"/>
        <v/>
      </c>
      <c r="J57" s="7">
        <v>40</v>
      </c>
    </row>
    <row r="58" spans="1:10">
      <c r="A58" s="307" t="str">
        <f t="shared" si="0"/>
        <v/>
      </c>
      <c r="B58" s="308" t="str">
        <f t="shared" si="2"/>
        <v/>
      </c>
      <c r="C58" s="309" t="str">
        <f t="shared" si="3"/>
        <v/>
      </c>
      <c r="D58" s="309" t="str">
        <f t="shared" si="1"/>
        <v/>
      </c>
      <c r="E58" s="309" t="str">
        <f t="shared" si="4"/>
        <v/>
      </c>
      <c r="F58" s="309" t="str">
        <f t="shared" si="5"/>
        <v/>
      </c>
      <c r="G58" s="309" t="str">
        <f t="shared" si="6"/>
        <v/>
      </c>
      <c r="J58" s="7">
        <v>41</v>
      </c>
    </row>
    <row r="59" spans="1:10">
      <c r="A59" s="307" t="str">
        <f t="shared" si="0"/>
        <v/>
      </c>
      <c r="B59" s="308" t="str">
        <f t="shared" si="2"/>
        <v/>
      </c>
      <c r="C59" s="309" t="str">
        <f t="shared" si="3"/>
        <v/>
      </c>
      <c r="D59" s="309" t="str">
        <f t="shared" si="1"/>
        <v/>
      </c>
      <c r="E59" s="309" t="str">
        <f t="shared" si="4"/>
        <v/>
      </c>
      <c r="F59" s="309" t="str">
        <f t="shared" si="5"/>
        <v/>
      </c>
      <c r="G59" s="309" t="str">
        <f t="shared" si="6"/>
        <v/>
      </c>
      <c r="J59" s="7">
        <v>42</v>
      </c>
    </row>
    <row r="60" spans="1:10">
      <c r="A60" s="307" t="str">
        <f t="shared" si="0"/>
        <v/>
      </c>
      <c r="B60" s="308" t="str">
        <f t="shared" si="2"/>
        <v/>
      </c>
      <c r="C60" s="309" t="str">
        <f t="shared" si="3"/>
        <v/>
      </c>
      <c r="D60" s="309" t="str">
        <f t="shared" si="1"/>
        <v/>
      </c>
      <c r="E60" s="309" t="str">
        <f t="shared" si="4"/>
        <v/>
      </c>
      <c r="F60" s="309" t="str">
        <f t="shared" si="5"/>
        <v/>
      </c>
      <c r="G60" s="309" t="str">
        <f t="shared" si="6"/>
        <v/>
      </c>
      <c r="J60" s="7">
        <v>43</v>
      </c>
    </row>
    <row r="61" spans="1:10">
      <c r="A61" s="307" t="str">
        <f t="shared" si="0"/>
        <v/>
      </c>
      <c r="B61" s="308" t="str">
        <f t="shared" si="2"/>
        <v/>
      </c>
      <c r="C61" s="309" t="str">
        <f t="shared" si="3"/>
        <v/>
      </c>
      <c r="D61" s="309" t="str">
        <f t="shared" si="1"/>
        <v/>
      </c>
      <c r="E61" s="309" t="str">
        <f t="shared" si="4"/>
        <v/>
      </c>
      <c r="F61" s="309" t="str">
        <f t="shared" si="5"/>
        <v/>
      </c>
      <c r="G61" s="309" t="str">
        <f t="shared" si="6"/>
        <v/>
      </c>
      <c r="J61" s="7">
        <v>44</v>
      </c>
    </row>
    <row r="62" spans="1:10">
      <c r="A62" s="307" t="str">
        <f t="shared" si="0"/>
        <v/>
      </c>
      <c r="B62" s="308" t="str">
        <f t="shared" si="2"/>
        <v/>
      </c>
      <c r="C62" s="309" t="str">
        <f t="shared" si="3"/>
        <v/>
      </c>
      <c r="D62" s="309" t="str">
        <f t="shared" si="1"/>
        <v/>
      </c>
      <c r="E62" s="309" t="str">
        <f t="shared" si="4"/>
        <v/>
      </c>
      <c r="F62" s="309" t="str">
        <f t="shared" si="5"/>
        <v/>
      </c>
      <c r="G62" s="309" t="str">
        <f t="shared" si="6"/>
        <v/>
      </c>
      <c r="J62" s="7">
        <v>45</v>
      </c>
    </row>
    <row r="63" spans="1:10">
      <c r="A63" s="307" t="str">
        <f t="shared" si="0"/>
        <v/>
      </c>
      <c r="B63" s="308" t="str">
        <f t="shared" si="2"/>
        <v/>
      </c>
      <c r="C63" s="309" t="str">
        <f t="shared" si="3"/>
        <v/>
      </c>
      <c r="D63" s="309" t="str">
        <f t="shared" si="1"/>
        <v/>
      </c>
      <c r="E63" s="309" t="str">
        <f t="shared" si="4"/>
        <v/>
      </c>
      <c r="F63" s="309" t="str">
        <f t="shared" si="5"/>
        <v/>
      </c>
      <c r="G63" s="309" t="str">
        <f t="shared" si="6"/>
        <v/>
      </c>
      <c r="J63" s="7">
        <v>46</v>
      </c>
    </row>
    <row r="64" spans="1:10">
      <c r="A64" s="307" t="str">
        <f t="shared" si="0"/>
        <v/>
      </c>
      <c r="B64" s="308" t="str">
        <f t="shared" si="2"/>
        <v/>
      </c>
      <c r="C64" s="309" t="str">
        <f t="shared" si="3"/>
        <v/>
      </c>
      <c r="D64" s="309" t="str">
        <f t="shared" si="1"/>
        <v/>
      </c>
      <c r="E64" s="309" t="str">
        <f t="shared" si="4"/>
        <v/>
      </c>
      <c r="F64" s="309" t="str">
        <f t="shared" si="5"/>
        <v/>
      </c>
      <c r="G64" s="309" t="str">
        <f t="shared" si="6"/>
        <v/>
      </c>
      <c r="J64" s="7">
        <v>47</v>
      </c>
    </row>
    <row r="65" spans="1:10">
      <c r="A65" s="307" t="str">
        <f t="shared" si="0"/>
        <v/>
      </c>
      <c r="B65" s="308" t="str">
        <f t="shared" si="2"/>
        <v/>
      </c>
      <c r="C65" s="309" t="str">
        <f t="shared" si="3"/>
        <v/>
      </c>
      <c r="D65" s="309" t="str">
        <f t="shared" si="1"/>
        <v/>
      </c>
      <c r="E65" s="309" t="str">
        <f t="shared" si="4"/>
        <v/>
      </c>
      <c r="F65" s="309" t="str">
        <f t="shared" si="5"/>
        <v/>
      </c>
      <c r="G65" s="309" t="str">
        <f t="shared" si="6"/>
        <v/>
      </c>
      <c r="J65" s="7">
        <v>48</v>
      </c>
    </row>
    <row r="66" spans="1:10">
      <c r="A66" s="307" t="str">
        <f t="shared" si="0"/>
        <v/>
      </c>
      <c r="B66" s="308" t="str">
        <f t="shared" si="2"/>
        <v/>
      </c>
      <c r="C66" s="309" t="str">
        <f t="shared" si="3"/>
        <v/>
      </c>
      <c r="D66" s="309" t="str">
        <f t="shared" si="1"/>
        <v/>
      </c>
      <c r="E66" s="309" t="str">
        <f t="shared" si="4"/>
        <v/>
      </c>
      <c r="F66" s="309" t="str">
        <f t="shared" si="5"/>
        <v/>
      </c>
      <c r="G66" s="309" t="str">
        <f t="shared" si="6"/>
        <v/>
      </c>
      <c r="J66" s="7">
        <v>49</v>
      </c>
    </row>
    <row r="67" spans="1:10">
      <c r="A67" s="307" t="str">
        <f t="shared" si="0"/>
        <v/>
      </c>
      <c r="B67" s="308" t="str">
        <f t="shared" si="2"/>
        <v/>
      </c>
      <c r="C67" s="309" t="str">
        <f t="shared" si="3"/>
        <v/>
      </c>
      <c r="D67" s="309" t="str">
        <f t="shared" si="1"/>
        <v/>
      </c>
      <c r="E67" s="309" t="str">
        <f t="shared" si="4"/>
        <v/>
      </c>
      <c r="F67" s="309" t="str">
        <f t="shared" si="5"/>
        <v/>
      </c>
      <c r="G67" s="309" t="str">
        <f t="shared" si="6"/>
        <v/>
      </c>
      <c r="J67" s="7">
        <v>50</v>
      </c>
    </row>
    <row r="68" spans="1:10">
      <c r="A68" s="307" t="str">
        <f t="shared" si="0"/>
        <v/>
      </c>
      <c r="B68" s="308" t="str">
        <f t="shared" si="2"/>
        <v/>
      </c>
      <c r="C68" s="309" t="str">
        <f t="shared" si="3"/>
        <v/>
      </c>
      <c r="D68" s="309" t="str">
        <f t="shared" si="1"/>
        <v/>
      </c>
      <c r="E68" s="309" t="str">
        <f t="shared" si="4"/>
        <v/>
      </c>
      <c r="F68" s="309" t="str">
        <f t="shared" si="5"/>
        <v/>
      </c>
      <c r="G68" s="309" t="str">
        <f t="shared" si="6"/>
        <v/>
      </c>
      <c r="J68" s="7">
        <v>51</v>
      </c>
    </row>
    <row r="69" spans="1:10">
      <c r="A69" s="307" t="str">
        <f t="shared" si="0"/>
        <v/>
      </c>
      <c r="B69" s="308" t="str">
        <f t="shared" si="2"/>
        <v/>
      </c>
      <c r="C69" s="309" t="str">
        <f t="shared" si="3"/>
        <v/>
      </c>
      <c r="D69" s="309" t="str">
        <f t="shared" si="1"/>
        <v/>
      </c>
      <c r="E69" s="309" t="str">
        <f t="shared" si="4"/>
        <v/>
      </c>
      <c r="F69" s="309" t="str">
        <f t="shared" si="5"/>
        <v/>
      </c>
      <c r="G69" s="309" t="str">
        <f t="shared" si="6"/>
        <v/>
      </c>
      <c r="J69" s="7">
        <v>52</v>
      </c>
    </row>
    <row r="70" spans="1:10">
      <c r="A70" s="307" t="str">
        <f t="shared" si="0"/>
        <v/>
      </c>
      <c r="B70" s="308" t="str">
        <f t="shared" si="2"/>
        <v/>
      </c>
      <c r="C70" s="309" t="str">
        <f t="shared" si="3"/>
        <v/>
      </c>
      <c r="D70" s="309" t="str">
        <f t="shared" si="1"/>
        <v/>
      </c>
      <c r="E70" s="309" t="str">
        <f t="shared" si="4"/>
        <v/>
      </c>
      <c r="F70" s="309" t="str">
        <f t="shared" si="5"/>
        <v/>
      </c>
      <c r="G70" s="309" t="str">
        <f t="shared" si="6"/>
        <v/>
      </c>
      <c r="J70" s="7">
        <v>53</v>
      </c>
    </row>
    <row r="71" spans="1:10">
      <c r="A71" s="307" t="str">
        <f t="shared" si="0"/>
        <v/>
      </c>
      <c r="B71" s="308" t="str">
        <f t="shared" si="2"/>
        <v/>
      </c>
      <c r="C71" s="309" t="str">
        <f t="shared" si="3"/>
        <v/>
      </c>
      <c r="D71" s="309" t="str">
        <f t="shared" si="1"/>
        <v/>
      </c>
      <c r="E71" s="309" t="str">
        <f t="shared" si="4"/>
        <v/>
      </c>
      <c r="F71" s="309" t="str">
        <f t="shared" si="5"/>
        <v/>
      </c>
      <c r="G71" s="309" t="str">
        <f t="shared" si="6"/>
        <v/>
      </c>
      <c r="J71" s="7">
        <v>54</v>
      </c>
    </row>
    <row r="72" spans="1:10">
      <c r="A72" s="307" t="str">
        <f t="shared" si="0"/>
        <v/>
      </c>
      <c r="B72" s="308" t="str">
        <f t="shared" si="2"/>
        <v/>
      </c>
      <c r="C72" s="309" t="str">
        <f t="shared" si="3"/>
        <v/>
      </c>
      <c r="D72" s="309" t="str">
        <f t="shared" si="1"/>
        <v/>
      </c>
      <c r="E72" s="309" t="str">
        <f t="shared" si="4"/>
        <v/>
      </c>
      <c r="F72" s="309" t="str">
        <f t="shared" si="5"/>
        <v/>
      </c>
      <c r="G72" s="309" t="str">
        <f t="shared" si="6"/>
        <v/>
      </c>
      <c r="J72" s="7">
        <v>55</v>
      </c>
    </row>
    <row r="73" spans="1:10">
      <c r="A73" s="307" t="str">
        <f t="shared" si="0"/>
        <v/>
      </c>
      <c r="B73" s="308" t="str">
        <f t="shared" si="2"/>
        <v/>
      </c>
      <c r="C73" s="309" t="str">
        <f t="shared" si="3"/>
        <v/>
      </c>
      <c r="D73" s="309" t="str">
        <f t="shared" si="1"/>
        <v/>
      </c>
      <c r="E73" s="309" t="str">
        <f t="shared" si="4"/>
        <v/>
      </c>
      <c r="F73" s="309" t="str">
        <f t="shared" si="5"/>
        <v/>
      </c>
      <c r="G73" s="309" t="str">
        <f t="shared" si="6"/>
        <v/>
      </c>
      <c r="J73" s="7">
        <v>56</v>
      </c>
    </row>
    <row r="74" spans="1:10">
      <c r="A74" s="307" t="str">
        <f t="shared" si="0"/>
        <v/>
      </c>
      <c r="B74" s="308" t="str">
        <f t="shared" si="2"/>
        <v/>
      </c>
      <c r="C74" s="309" t="str">
        <f t="shared" si="3"/>
        <v/>
      </c>
      <c r="D74" s="309" t="str">
        <f t="shared" si="1"/>
        <v/>
      </c>
      <c r="E74" s="309" t="str">
        <f t="shared" si="4"/>
        <v/>
      </c>
      <c r="F74" s="309" t="str">
        <f t="shared" si="5"/>
        <v/>
      </c>
      <c r="G74" s="309" t="str">
        <f t="shared" si="6"/>
        <v/>
      </c>
      <c r="J74" s="7">
        <v>57</v>
      </c>
    </row>
    <row r="75" spans="1:10">
      <c r="A75" s="307" t="str">
        <f t="shared" si="0"/>
        <v/>
      </c>
      <c r="B75" s="308" t="str">
        <f t="shared" si="2"/>
        <v/>
      </c>
      <c r="C75" s="309" t="str">
        <f t="shared" si="3"/>
        <v/>
      </c>
      <c r="D75" s="309" t="str">
        <f t="shared" si="1"/>
        <v/>
      </c>
      <c r="E75" s="309" t="str">
        <f t="shared" si="4"/>
        <v/>
      </c>
      <c r="F75" s="309" t="str">
        <f t="shared" si="5"/>
        <v/>
      </c>
      <c r="G75" s="309" t="str">
        <f t="shared" si="6"/>
        <v/>
      </c>
      <c r="J75" s="7">
        <v>58</v>
      </c>
    </row>
    <row r="76" spans="1:10">
      <c r="A76" s="307" t="str">
        <f t="shared" si="0"/>
        <v/>
      </c>
      <c r="B76" s="308" t="str">
        <f t="shared" si="2"/>
        <v/>
      </c>
      <c r="C76" s="309" t="str">
        <f t="shared" si="3"/>
        <v/>
      </c>
      <c r="D76" s="309" t="str">
        <f t="shared" si="1"/>
        <v/>
      </c>
      <c r="E76" s="309" t="str">
        <f t="shared" si="4"/>
        <v/>
      </c>
      <c r="F76" s="309" t="str">
        <f t="shared" si="5"/>
        <v/>
      </c>
      <c r="G76" s="309" t="str">
        <f t="shared" si="6"/>
        <v/>
      </c>
      <c r="J76" s="7">
        <v>59</v>
      </c>
    </row>
    <row r="77" spans="1:10">
      <c r="A77" s="307" t="str">
        <f t="shared" si="0"/>
        <v/>
      </c>
      <c r="B77" s="308" t="str">
        <f t="shared" si="2"/>
        <v/>
      </c>
      <c r="C77" s="309" t="str">
        <f t="shared" si="3"/>
        <v/>
      </c>
      <c r="D77" s="309" t="str">
        <f t="shared" si="1"/>
        <v/>
      </c>
      <c r="E77" s="309" t="str">
        <f t="shared" si="4"/>
        <v/>
      </c>
      <c r="F77" s="309" t="str">
        <f t="shared" si="5"/>
        <v/>
      </c>
      <c r="G77" s="309" t="str">
        <f t="shared" si="6"/>
        <v/>
      </c>
      <c r="J77" s="7">
        <v>60</v>
      </c>
    </row>
    <row r="78" spans="1:10">
      <c r="A78" s="307" t="str">
        <f t="shared" si="0"/>
        <v/>
      </c>
      <c r="B78" s="308" t="str">
        <f t="shared" si="2"/>
        <v/>
      </c>
      <c r="C78" s="309" t="str">
        <f t="shared" si="3"/>
        <v/>
      </c>
      <c r="D78" s="309" t="str">
        <f t="shared" si="1"/>
        <v/>
      </c>
      <c r="E78" s="309" t="str">
        <f t="shared" si="4"/>
        <v/>
      </c>
      <c r="F78" s="309" t="str">
        <f t="shared" si="5"/>
        <v/>
      </c>
      <c r="G78" s="309" t="str">
        <f t="shared" si="6"/>
        <v/>
      </c>
      <c r="J78" s="7">
        <v>61</v>
      </c>
    </row>
    <row r="79" spans="1:10">
      <c r="A79" s="307" t="str">
        <f t="shared" si="0"/>
        <v/>
      </c>
      <c r="B79" s="308" t="str">
        <f t="shared" si="2"/>
        <v/>
      </c>
      <c r="C79" s="309" t="str">
        <f t="shared" si="3"/>
        <v/>
      </c>
      <c r="D79" s="309" t="str">
        <f t="shared" si="1"/>
        <v/>
      </c>
      <c r="E79" s="309" t="str">
        <f t="shared" si="4"/>
        <v/>
      </c>
      <c r="F79" s="309" t="str">
        <f t="shared" si="5"/>
        <v/>
      </c>
      <c r="G79" s="309" t="str">
        <f t="shared" si="6"/>
        <v/>
      </c>
      <c r="J79" s="7">
        <v>62</v>
      </c>
    </row>
    <row r="80" spans="1:10">
      <c r="A80" s="307" t="str">
        <f t="shared" si="0"/>
        <v/>
      </c>
      <c r="B80" s="308" t="str">
        <f t="shared" si="2"/>
        <v/>
      </c>
      <c r="C80" s="309" t="str">
        <f t="shared" si="3"/>
        <v/>
      </c>
      <c r="D80" s="309" t="str">
        <f t="shared" si="1"/>
        <v/>
      </c>
      <c r="E80" s="309" t="str">
        <f t="shared" si="4"/>
        <v/>
      </c>
      <c r="F80" s="309" t="str">
        <f t="shared" si="5"/>
        <v/>
      </c>
      <c r="G80" s="309" t="str">
        <f t="shared" si="6"/>
        <v/>
      </c>
      <c r="J80" s="7">
        <v>63</v>
      </c>
    </row>
    <row r="81" spans="1:10">
      <c r="A81" s="307" t="str">
        <f t="shared" si="0"/>
        <v/>
      </c>
      <c r="B81" s="308" t="str">
        <f t="shared" si="2"/>
        <v/>
      </c>
      <c r="C81" s="309" t="str">
        <f t="shared" si="3"/>
        <v/>
      </c>
      <c r="D81" s="309" t="str">
        <f>IF(A81&gt;=C$11,"",C81*F$10)</f>
        <v/>
      </c>
      <c r="E81" s="309" t="str">
        <f t="shared" si="4"/>
        <v/>
      </c>
      <c r="F81" s="309" t="str">
        <f t="shared" si="5"/>
        <v/>
      </c>
      <c r="G81" s="309" t="str">
        <f t="shared" si="6"/>
        <v/>
      </c>
      <c r="J81" s="7">
        <v>64</v>
      </c>
    </row>
    <row r="82" spans="1:10">
      <c r="A82" s="307" t="str">
        <f t="shared" si="0"/>
        <v/>
      </c>
      <c r="B82" s="308" t="str">
        <f t="shared" si="2"/>
        <v/>
      </c>
      <c r="C82" s="309" t="str">
        <f t="shared" si="3"/>
        <v/>
      </c>
      <c r="D82" s="309" t="str">
        <f>IF(A82&gt;=C$11,"",C82*F$10)</f>
        <v/>
      </c>
      <c r="E82" s="309" t="str">
        <f t="shared" si="4"/>
        <v/>
      </c>
      <c r="F82" s="309" t="str">
        <f t="shared" si="5"/>
        <v/>
      </c>
      <c r="G82" s="309" t="str">
        <f t="shared" si="6"/>
        <v/>
      </c>
      <c r="J82" s="7">
        <v>65</v>
      </c>
    </row>
    <row r="83" spans="1:10">
      <c r="A83" s="307" t="str">
        <f t="shared" ref="A83:A101" si="7">IF(J83&lt;=C$11,J83,"")</f>
        <v/>
      </c>
      <c r="B83" s="308" t="str">
        <f t="shared" si="2"/>
        <v/>
      </c>
      <c r="C83" s="309" t="str">
        <f t="shared" si="3"/>
        <v/>
      </c>
      <c r="D83" s="309" t="str">
        <f>IF(A83&gt;=C$11,"",C83*F$10)</f>
        <v/>
      </c>
      <c r="E83" s="309" t="str">
        <f t="shared" si="4"/>
        <v/>
      </c>
      <c r="F83" s="309" t="str">
        <f t="shared" si="5"/>
        <v/>
      </c>
      <c r="G83" s="309" t="str">
        <f t="shared" si="6"/>
        <v/>
      </c>
      <c r="J83" s="7">
        <v>66</v>
      </c>
    </row>
    <row r="84" spans="1:10">
      <c r="A84" s="307" t="str">
        <f t="shared" si="7"/>
        <v/>
      </c>
      <c r="B84" s="308" t="str">
        <f t="shared" ref="B84:B101" si="8">IF(A84&gt;C$11,"",EDATE(B83,1))</f>
        <v/>
      </c>
      <c r="C84" s="309" t="str">
        <f t="shared" ref="C84:C101" si="9">IF(A84&gt;C$11,"",C83-E83)</f>
        <v/>
      </c>
      <c r="D84" s="309" t="str">
        <f t="shared" ref="D84:D101" si="10">IF(A84&gt;=C$11,"",C84*F$10)</f>
        <v/>
      </c>
      <c r="E84" s="309" t="str">
        <f t="shared" ref="E84:E101" si="11">IF(A84&gt;C$11,"",F84-D84)</f>
        <v/>
      </c>
      <c r="F84" s="309" t="str">
        <f t="shared" ref="F84:F101" si="12">IF(A84&gt;C$11,"",F$18)</f>
        <v/>
      </c>
      <c r="G84" s="309" t="str">
        <f t="shared" ref="G84:G101" si="13">IFERROR(D84+G83,"")</f>
        <v/>
      </c>
      <c r="J84" s="7">
        <v>67</v>
      </c>
    </row>
    <row r="85" spans="1:10">
      <c r="A85" s="307" t="str">
        <f t="shared" si="7"/>
        <v/>
      </c>
      <c r="B85" s="308" t="str">
        <f t="shared" si="8"/>
        <v/>
      </c>
      <c r="C85" s="309" t="str">
        <f t="shared" si="9"/>
        <v/>
      </c>
      <c r="D85" s="309" t="str">
        <f t="shared" si="10"/>
        <v/>
      </c>
      <c r="E85" s="309" t="str">
        <f t="shared" si="11"/>
        <v/>
      </c>
      <c r="F85" s="309" t="str">
        <f t="shared" si="12"/>
        <v/>
      </c>
      <c r="G85" s="309" t="str">
        <f t="shared" si="13"/>
        <v/>
      </c>
      <c r="J85" s="7">
        <v>68</v>
      </c>
    </row>
    <row r="86" spans="1:10">
      <c r="A86" s="307" t="str">
        <f t="shared" si="7"/>
        <v/>
      </c>
      <c r="B86" s="308" t="str">
        <f t="shared" si="8"/>
        <v/>
      </c>
      <c r="C86" s="309" t="str">
        <f t="shared" si="9"/>
        <v/>
      </c>
      <c r="D86" s="309" t="str">
        <f t="shared" si="10"/>
        <v/>
      </c>
      <c r="E86" s="309" t="str">
        <f t="shared" si="11"/>
        <v/>
      </c>
      <c r="F86" s="309" t="str">
        <f t="shared" si="12"/>
        <v/>
      </c>
      <c r="G86" s="309" t="str">
        <f t="shared" si="13"/>
        <v/>
      </c>
      <c r="J86" s="7">
        <v>69</v>
      </c>
    </row>
    <row r="87" spans="1:10">
      <c r="A87" s="307" t="str">
        <f t="shared" si="7"/>
        <v/>
      </c>
      <c r="B87" s="308" t="str">
        <f t="shared" si="8"/>
        <v/>
      </c>
      <c r="C87" s="309" t="str">
        <f t="shared" si="9"/>
        <v/>
      </c>
      <c r="D87" s="309" t="str">
        <f t="shared" si="10"/>
        <v/>
      </c>
      <c r="E87" s="309" t="str">
        <f t="shared" si="11"/>
        <v/>
      </c>
      <c r="F87" s="309" t="str">
        <f t="shared" si="12"/>
        <v/>
      </c>
      <c r="G87" s="309" t="str">
        <f t="shared" si="13"/>
        <v/>
      </c>
      <c r="J87" s="7">
        <v>70</v>
      </c>
    </row>
    <row r="88" spans="1:10">
      <c r="A88" s="307" t="str">
        <f t="shared" si="7"/>
        <v/>
      </c>
      <c r="B88" s="308" t="str">
        <f t="shared" si="8"/>
        <v/>
      </c>
      <c r="C88" s="309" t="str">
        <f t="shared" si="9"/>
        <v/>
      </c>
      <c r="D88" s="309" t="str">
        <f t="shared" si="10"/>
        <v/>
      </c>
      <c r="E88" s="309" t="str">
        <f t="shared" si="11"/>
        <v/>
      </c>
      <c r="F88" s="309" t="str">
        <f t="shared" si="12"/>
        <v/>
      </c>
      <c r="G88" s="309" t="str">
        <f t="shared" si="13"/>
        <v/>
      </c>
      <c r="J88" s="7">
        <v>71</v>
      </c>
    </row>
    <row r="89" spans="1:10">
      <c r="A89" s="307" t="str">
        <f t="shared" si="7"/>
        <v/>
      </c>
      <c r="B89" s="308" t="str">
        <f t="shared" si="8"/>
        <v/>
      </c>
      <c r="C89" s="309" t="str">
        <f t="shared" si="9"/>
        <v/>
      </c>
      <c r="D89" s="309" t="str">
        <f t="shared" si="10"/>
        <v/>
      </c>
      <c r="E89" s="309" t="str">
        <f t="shared" si="11"/>
        <v/>
      </c>
      <c r="F89" s="309" t="str">
        <f t="shared" si="12"/>
        <v/>
      </c>
      <c r="G89" s="309" t="str">
        <f t="shared" si="13"/>
        <v/>
      </c>
      <c r="J89" s="7">
        <v>72</v>
      </c>
    </row>
    <row r="90" spans="1:10">
      <c r="A90" s="307" t="str">
        <f t="shared" si="7"/>
        <v/>
      </c>
      <c r="B90" s="308" t="str">
        <f t="shared" si="8"/>
        <v/>
      </c>
      <c r="C90" s="309" t="str">
        <f t="shared" si="9"/>
        <v/>
      </c>
      <c r="D90" s="309" t="str">
        <f t="shared" si="10"/>
        <v/>
      </c>
      <c r="E90" s="309" t="str">
        <f t="shared" si="11"/>
        <v/>
      </c>
      <c r="F90" s="309" t="str">
        <f t="shared" si="12"/>
        <v/>
      </c>
      <c r="G90" s="309" t="str">
        <f t="shared" si="13"/>
        <v/>
      </c>
      <c r="J90" s="7">
        <v>73</v>
      </c>
    </row>
    <row r="91" spans="1:10">
      <c r="A91" s="307" t="str">
        <f t="shared" si="7"/>
        <v/>
      </c>
      <c r="B91" s="308" t="str">
        <f t="shared" si="8"/>
        <v/>
      </c>
      <c r="C91" s="309" t="str">
        <f t="shared" si="9"/>
        <v/>
      </c>
      <c r="D91" s="309" t="str">
        <f t="shared" si="10"/>
        <v/>
      </c>
      <c r="E91" s="309" t="str">
        <f t="shared" si="11"/>
        <v/>
      </c>
      <c r="F91" s="309" t="str">
        <f t="shared" si="12"/>
        <v/>
      </c>
      <c r="G91" s="309" t="str">
        <f t="shared" si="13"/>
        <v/>
      </c>
      <c r="J91" s="7">
        <v>74</v>
      </c>
    </row>
    <row r="92" spans="1:10">
      <c r="A92" s="307" t="str">
        <f t="shared" si="7"/>
        <v/>
      </c>
      <c r="B92" s="308" t="str">
        <f t="shared" si="8"/>
        <v/>
      </c>
      <c r="C92" s="309" t="str">
        <f t="shared" si="9"/>
        <v/>
      </c>
      <c r="D92" s="309" t="str">
        <f t="shared" si="10"/>
        <v/>
      </c>
      <c r="E92" s="309" t="str">
        <f t="shared" si="11"/>
        <v/>
      </c>
      <c r="F92" s="309" t="str">
        <f t="shared" si="12"/>
        <v/>
      </c>
      <c r="G92" s="309" t="str">
        <f t="shared" si="13"/>
        <v/>
      </c>
      <c r="J92" s="7">
        <v>75</v>
      </c>
    </row>
    <row r="93" spans="1:10">
      <c r="A93" s="307" t="str">
        <f t="shared" si="7"/>
        <v/>
      </c>
      <c r="B93" s="308" t="str">
        <f t="shared" si="8"/>
        <v/>
      </c>
      <c r="C93" s="309" t="str">
        <f t="shared" si="9"/>
        <v/>
      </c>
      <c r="D93" s="309" t="str">
        <f t="shared" si="10"/>
        <v/>
      </c>
      <c r="E93" s="309" t="str">
        <f t="shared" si="11"/>
        <v/>
      </c>
      <c r="F93" s="309" t="str">
        <f t="shared" si="12"/>
        <v/>
      </c>
      <c r="G93" s="309" t="str">
        <f t="shared" si="13"/>
        <v/>
      </c>
      <c r="J93" s="7">
        <v>76</v>
      </c>
    </row>
    <row r="94" spans="1:10">
      <c r="A94" s="307" t="str">
        <f t="shared" si="7"/>
        <v/>
      </c>
      <c r="B94" s="308" t="str">
        <f t="shared" si="8"/>
        <v/>
      </c>
      <c r="C94" s="309" t="str">
        <f t="shared" si="9"/>
        <v/>
      </c>
      <c r="D94" s="309" t="str">
        <f t="shared" si="10"/>
        <v/>
      </c>
      <c r="E94" s="309" t="str">
        <f t="shared" si="11"/>
        <v/>
      </c>
      <c r="F94" s="309" t="str">
        <f t="shared" si="12"/>
        <v/>
      </c>
      <c r="G94" s="309" t="str">
        <f t="shared" si="13"/>
        <v/>
      </c>
      <c r="J94" s="7">
        <v>77</v>
      </c>
    </row>
    <row r="95" spans="1:10">
      <c r="A95" s="307" t="str">
        <f t="shared" si="7"/>
        <v/>
      </c>
      <c r="B95" s="308" t="str">
        <f t="shared" si="8"/>
        <v/>
      </c>
      <c r="C95" s="309" t="str">
        <f t="shared" si="9"/>
        <v/>
      </c>
      <c r="D95" s="309" t="str">
        <f t="shared" si="10"/>
        <v/>
      </c>
      <c r="E95" s="309" t="str">
        <f t="shared" si="11"/>
        <v/>
      </c>
      <c r="F95" s="309" t="str">
        <f t="shared" si="12"/>
        <v/>
      </c>
      <c r="G95" s="309" t="str">
        <f t="shared" si="13"/>
        <v/>
      </c>
      <c r="J95" s="7">
        <v>78</v>
      </c>
    </row>
    <row r="96" spans="1:10">
      <c r="A96" s="307" t="str">
        <f t="shared" si="7"/>
        <v/>
      </c>
      <c r="B96" s="308" t="str">
        <f t="shared" si="8"/>
        <v/>
      </c>
      <c r="C96" s="309" t="str">
        <f t="shared" si="9"/>
        <v/>
      </c>
      <c r="D96" s="309" t="str">
        <f t="shared" si="10"/>
        <v/>
      </c>
      <c r="E96" s="309" t="str">
        <f t="shared" si="11"/>
        <v/>
      </c>
      <c r="F96" s="309" t="str">
        <f t="shared" si="12"/>
        <v/>
      </c>
      <c r="G96" s="309" t="str">
        <f t="shared" si="13"/>
        <v/>
      </c>
      <c r="J96" s="7">
        <v>79</v>
      </c>
    </row>
    <row r="97" spans="1:10">
      <c r="A97" s="307" t="str">
        <f t="shared" si="7"/>
        <v/>
      </c>
      <c r="B97" s="308" t="str">
        <f t="shared" si="8"/>
        <v/>
      </c>
      <c r="C97" s="309" t="str">
        <f t="shared" si="9"/>
        <v/>
      </c>
      <c r="D97" s="309" t="str">
        <f t="shared" si="10"/>
        <v/>
      </c>
      <c r="E97" s="309" t="str">
        <f t="shared" si="11"/>
        <v/>
      </c>
      <c r="F97" s="309" t="str">
        <f t="shared" si="12"/>
        <v/>
      </c>
      <c r="G97" s="309" t="str">
        <f t="shared" si="13"/>
        <v/>
      </c>
      <c r="J97" s="7">
        <v>80</v>
      </c>
    </row>
    <row r="98" spans="1:10">
      <c r="A98" s="307" t="str">
        <f t="shared" si="7"/>
        <v/>
      </c>
      <c r="B98" s="308" t="str">
        <f t="shared" si="8"/>
        <v/>
      </c>
      <c r="C98" s="309" t="str">
        <f t="shared" si="9"/>
        <v/>
      </c>
      <c r="D98" s="309" t="str">
        <f t="shared" si="10"/>
        <v/>
      </c>
      <c r="E98" s="309" t="str">
        <f t="shared" si="11"/>
        <v/>
      </c>
      <c r="F98" s="309" t="str">
        <f t="shared" si="12"/>
        <v/>
      </c>
      <c r="G98" s="309" t="str">
        <f t="shared" si="13"/>
        <v/>
      </c>
      <c r="J98" s="7">
        <v>81</v>
      </c>
    </row>
    <row r="99" spans="1:10">
      <c r="A99" s="307" t="str">
        <f t="shared" si="7"/>
        <v/>
      </c>
      <c r="B99" s="308" t="str">
        <f t="shared" si="8"/>
        <v/>
      </c>
      <c r="C99" s="309" t="str">
        <f t="shared" si="9"/>
        <v/>
      </c>
      <c r="D99" s="309" t="str">
        <f t="shared" si="10"/>
        <v/>
      </c>
      <c r="E99" s="309" t="str">
        <f t="shared" si="11"/>
        <v/>
      </c>
      <c r="F99" s="309" t="str">
        <f t="shared" si="12"/>
        <v/>
      </c>
      <c r="G99" s="309" t="str">
        <f t="shared" si="13"/>
        <v/>
      </c>
      <c r="J99" s="7">
        <v>82</v>
      </c>
    </row>
    <row r="100" spans="1:10">
      <c r="A100" s="307" t="str">
        <f t="shared" si="7"/>
        <v/>
      </c>
      <c r="B100" s="308" t="str">
        <f t="shared" si="8"/>
        <v/>
      </c>
      <c r="C100" s="309" t="str">
        <f t="shared" si="9"/>
        <v/>
      </c>
      <c r="D100" s="309" t="str">
        <f t="shared" si="10"/>
        <v/>
      </c>
      <c r="E100" s="309" t="str">
        <f t="shared" si="11"/>
        <v/>
      </c>
      <c r="F100" s="309" t="str">
        <f t="shared" si="12"/>
        <v/>
      </c>
      <c r="G100" s="309" t="str">
        <f t="shared" si="13"/>
        <v/>
      </c>
      <c r="J100" s="7">
        <v>83</v>
      </c>
    </row>
    <row r="101" spans="1:10">
      <c r="A101" s="307" t="str">
        <f t="shared" si="7"/>
        <v/>
      </c>
      <c r="B101" s="308" t="str">
        <f t="shared" si="8"/>
        <v/>
      </c>
      <c r="C101" s="309" t="str">
        <f t="shared" si="9"/>
        <v/>
      </c>
      <c r="D101" s="309" t="str">
        <f t="shared" si="10"/>
        <v/>
      </c>
      <c r="E101" s="309" t="str">
        <f t="shared" si="11"/>
        <v/>
      </c>
      <c r="F101" s="309" t="str">
        <f t="shared" si="12"/>
        <v/>
      </c>
      <c r="G101" s="309" t="str">
        <f t="shared" si="13"/>
        <v/>
      </c>
      <c r="J101" s="7">
        <v>84</v>
      </c>
    </row>
  </sheetData>
  <sheetProtection password="CF95" sheet="1" objects="1" scenarios="1"/>
  <mergeCells count="8">
    <mergeCell ref="D2:G4"/>
    <mergeCell ref="D9:E9"/>
    <mergeCell ref="D10:E10"/>
    <mergeCell ref="D11:E11"/>
    <mergeCell ref="A16:A17"/>
    <mergeCell ref="D16:D17"/>
    <mergeCell ref="E16:E17"/>
    <mergeCell ref="F16:F1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election activeCell="C9" sqref="C9:C11"/>
    </sheetView>
  </sheetViews>
  <sheetFormatPr baseColWidth="10" defaultRowHeight="15"/>
  <sheetData>
    <row r="1" spans="1:8" ht="15" customHeight="1">
      <c r="A1" s="1"/>
      <c r="B1" s="1"/>
      <c r="C1" s="1"/>
      <c r="D1" s="1"/>
      <c r="E1" s="1"/>
      <c r="F1" s="1"/>
      <c r="G1" s="1"/>
      <c r="H1" s="5"/>
    </row>
    <row r="2" spans="1:8" ht="15" customHeight="1">
      <c r="A2" s="1"/>
      <c r="B2" s="1"/>
      <c r="C2" s="2"/>
      <c r="D2" s="1067" t="s">
        <v>456</v>
      </c>
      <c r="E2" s="1067"/>
      <c r="F2" s="1067"/>
      <c r="G2" s="1067"/>
      <c r="H2" s="5"/>
    </row>
    <row r="3" spans="1:8" ht="15" customHeight="1">
      <c r="A3" s="1"/>
      <c r="B3" s="1"/>
      <c r="C3" s="314"/>
      <c r="D3" s="1067"/>
      <c r="E3" s="1067"/>
      <c r="F3" s="1067"/>
      <c r="G3" s="1067"/>
      <c r="H3" s="5"/>
    </row>
    <row r="4" spans="1:8" ht="15" customHeight="1">
      <c r="C4" s="314"/>
      <c r="D4" s="1067"/>
      <c r="E4" s="1067"/>
      <c r="F4" s="1067"/>
      <c r="G4" s="1067"/>
      <c r="H4" s="5"/>
    </row>
    <row r="5" spans="1:8" ht="15" customHeight="1">
      <c r="C5" s="191"/>
      <c r="D5" s="283"/>
      <c r="E5" s="283"/>
      <c r="F5" s="283"/>
      <c r="G5" s="283"/>
      <c r="H5" s="5"/>
    </row>
    <row r="6" spans="1:8">
      <c r="A6" s="120"/>
      <c r="B6" s="284"/>
      <c r="C6" s="284"/>
      <c r="D6" s="284"/>
      <c r="E6" s="284"/>
      <c r="F6" s="284"/>
      <c r="G6" s="284"/>
    </row>
    <row r="7" spans="1:8" ht="8.25" customHeight="1">
      <c r="A7" s="285"/>
      <c r="B7" s="284"/>
      <c r="C7" s="284"/>
      <c r="D7" s="284"/>
      <c r="E7" s="284"/>
      <c r="F7" s="284"/>
      <c r="G7" s="284"/>
    </row>
    <row r="8" spans="1:8">
      <c r="A8" s="286" t="s">
        <v>457</v>
      </c>
      <c r="B8" s="287"/>
      <c r="C8" s="288"/>
      <c r="D8" s="285"/>
      <c r="E8" s="289"/>
      <c r="F8" s="290"/>
      <c r="G8" s="290"/>
    </row>
    <row r="9" spans="1:8">
      <c r="A9" s="284"/>
      <c r="B9" s="291" t="s">
        <v>439</v>
      </c>
      <c r="C9" s="292">
        <f>Fin!B57</f>
        <v>0</v>
      </c>
      <c r="D9" s="311" t="s">
        <v>440</v>
      </c>
      <c r="E9" s="311"/>
      <c r="F9" s="293">
        <f>IFERROR(F18,0)</f>
        <v>0</v>
      </c>
      <c r="G9" s="294"/>
    </row>
    <row r="10" spans="1:8">
      <c r="A10" s="284"/>
      <c r="B10" s="291" t="s">
        <v>441</v>
      </c>
      <c r="C10" s="295">
        <f>Fin!C57</f>
        <v>0</v>
      </c>
      <c r="D10" s="301" t="s">
        <v>442</v>
      </c>
      <c r="E10" s="301"/>
      <c r="F10" s="296">
        <f>(1+C10)^(1/12)-1</f>
        <v>0</v>
      </c>
      <c r="G10" s="297"/>
    </row>
    <row r="11" spans="1:8">
      <c r="A11" s="284"/>
      <c r="B11" s="291" t="s">
        <v>443</v>
      </c>
      <c r="C11" s="298">
        <f>Fin!D57</f>
        <v>0</v>
      </c>
      <c r="D11" s="301" t="s">
        <v>444</v>
      </c>
      <c r="E11" s="301"/>
      <c r="F11" s="299">
        <f>IFERROR(SUM(D18:D101),0)</f>
        <v>0</v>
      </c>
      <c r="G11" s="284"/>
    </row>
    <row r="12" spans="1:8">
      <c r="A12" s="284"/>
      <c r="B12" s="291" t="s">
        <v>445</v>
      </c>
      <c r="C12" s="300">
        <f>Fin!E57</f>
        <v>0</v>
      </c>
      <c r="D12" s="285"/>
      <c r="E12" s="284"/>
      <c r="F12" s="284"/>
      <c r="G12" s="284"/>
    </row>
    <row r="13" spans="1:8">
      <c r="A13" s="285"/>
      <c r="B13" s="301"/>
      <c r="C13" s="302"/>
      <c r="D13" s="285"/>
      <c r="E13" s="285"/>
      <c r="F13" s="301"/>
      <c r="G13" s="303"/>
    </row>
    <row r="14" spans="1:8" ht="18">
      <c r="A14" s="304" t="s">
        <v>446</v>
      </c>
      <c r="B14" s="304"/>
      <c r="C14" s="304"/>
      <c r="D14" s="304"/>
      <c r="E14" s="304"/>
      <c r="F14" s="304"/>
      <c r="G14" s="304"/>
    </row>
    <row r="15" spans="1:8" ht="7.5" customHeight="1">
      <c r="A15" s="285"/>
      <c r="B15" s="285"/>
      <c r="C15" s="285"/>
      <c r="D15" s="285"/>
      <c r="E15" s="285"/>
      <c r="F15" s="285"/>
      <c r="G15" s="285"/>
    </row>
    <row r="16" spans="1:8">
      <c r="A16" s="312" t="s">
        <v>447</v>
      </c>
      <c r="B16" s="305" t="s">
        <v>448</v>
      </c>
      <c r="C16" s="305" t="s">
        <v>449</v>
      </c>
      <c r="D16" s="1072" t="s">
        <v>16</v>
      </c>
      <c r="E16" s="1072" t="s">
        <v>450</v>
      </c>
      <c r="F16" s="1072" t="s">
        <v>353</v>
      </c>
      <c r="G16" s="305" t="s">
        <v>16</v>
      </c>
    </row>
    <row r="17" spans="1:10">
      <c r="A17" s="313"/>
      <c r="B17" s="306" t="s">
        <v>451</v>
      </c>
      <c r="C17" s="306" t="s">
        <v>452</v>
      </c>
      <c r="D17" s="1073"/>
      <c r="E17" s="1073"/>
      <c r="F17" s="1073"/>
      <c r="G17" s="306" t="s">
        <v>453</v>
      </c>
    </row>
    <row r="18" spans="1:10">
      <c r="A18" s="307" t="str">
        <f>IF(J18&lt;=C$11,J18,"")</f>
        <v/>
      </c>
      <c r="B18" s="308">
        <f>IF(ISBLANK(A18),"",C12)</f>
        <v>0</v>
      </c>
      <c r="C18" s="309">
        <f>Montant_prêt</f>
        <v>0</v>
      </c>
      <c r="D18" s="309">
        <f>C18*F10</f>
        <v>0</v>
      </c>
      <c r="E18" s="309">
        <f>IFERROR(F18-D18,0)</f>
        <v>0</v>
      </c>
      <c r="F18" s="309">
        <f>IFERROR((Montant_prêt*F10)/((1-(1+F10)^(-C11))),0)</f>
        <v>0</v>
      </c>
      <c r="G18" s="309">
        <f>D18</f>
        <v>0</v>
      </c>
      <c r="J18" s="7">
        <v>1</v>
      </c>
    </row>
    <row r="19" spans="1:10">
      <c r="A19" s="307" t="str">
        <f t="shared" ref="A19:A82" si="0">IF(J19&lt;=C$11,J19,"")</f>
        <v/>
      </c>
      <c r="B19" s="308" t="str">
        <f>IF(A19&gt;C$11,"",EDATE(B18,1))</f>
        <v/>
      </c>
      <c r="C19" s="309" t="str">
        <f>IF(A19&gt;C$11,"",C18-E18)</f>
        <v/>
      </c>
      <c r="D19" s="309" t="str">
        <f t="shared" ref="D19:D80" si="1">IF(A19&gt;C$11,"",C19*F$10)</f>
        <v/>
      </c>
      <c r="E19" s="309" t="str">
        <f>IF(A19&gt;C$11,"",F19-D19)</f>
        <v/>
      </c>
      <c r="F19" s="309" t="str">
        <f>IF(A19&gt;C$11,"",F$18)</f>
        <v/>
      </c>
      <c r="G19" s="309" t="str">
        <f>IFERROR(G18+D19,"")</f>
        <v/>
      </c>
      <c r="J19" s="7">
        <v>2</v>
      </c>
    </row>
    <row r="20" spans="1:10">
      <c r="A20" s="307" t="str">
        <f t="shared" si="0"/>
        <v/>
      </c>
      <c r="B20" s="308" t="str">
        <f t="shared" ref="B20:B83" si="2">IF(A20&gt;C$11,"",EDATE(B19,1))</f>
        <v/>
      </c>
      <c r="C20" s="309" t="str">
        <f t="shared" ref="C20:C83" si="3">IF(A20&gt;C$11,"",C19-E19)</f>
        <v/>
      </c>
      <c r="D20" s="309" t="str">
        <f t="shared" si="1"/>
        <v/>
      </c>
      <c r="E20" s="309" t="str">
        <f t="shared" ref="E20:E83" si="4">IF(A20&gt;C$11,"",F20-D20)</f>
        <v/>
      </c>
      <c r="F20" s="309" t="str">
        <f t="shared" ref="F20:F83" si="5">IF(A20&gt;C$11,"",F$18)</f>
        <v/>
      </c>
      <c r="G20" s="309" t="str">
        <f t="shared" ref="G20:G83" si="6">IFERROR(G19+D20,"")</f>
        <v/>
      </c>
      <c r="J20" s="7">
        <v>3</v>
      </c>
    </row>
    <row r="21" spans="1:10">
      <c r="A21" s="307" t="str">
        <f t="shared" si="0"/>
        <v/>
      </c>
      <c r="B21" s="308" t="str">
        <f t="shared" si="2"/>
        <v/>
      </c>
      <c r="C21" s="309" t="str">
        <f t="shared" si="3"/>
        <v/>
      </c>
      <c r="D21" s="309" t="str">
        <f t="shared" si="1"/>
        <v/>
      </c>
      <c r="E21" s="309" t="str">
        <f t="shared" si="4"/>
        <v/>
      </c>
      <c r="F21" s="309" t="str">
        <f t="shared" si="5"/>
        <v/>
      </c>
      <c r="G21" s="309" t="str">
        <f t="shared" si="6"/>
        <v/>
      </c>
      <c r="J21" s="7">
        <v>4</v>
      </c>
    </row>
    <row r="22" spans="1:10">
      <c r="A22" s="307" t="str">
        <f t="shared" si="0"/>
        <v/>
      </c>
      <c r="B22" s="308" t="str">
        <f t="shared" si="2"/>
        <v/>
      </c>
      <c r="C22" s="309" t="str">
        <f t="shared" si="3"/>
        <v/>
      </c>
      <c r="D22" s="309" t="str">
        <f t="shared" si="1"/>
        <v/>
      </c>
      <c r="E22" s="309" t="str">
        <f t="shared" si="4"/>
        <v/>
      </c>
      <c r="F22" s="309" t="str">
        <f t="shared" si="5"/>
        <v/>
      </c>
      <c r="G22" s="309" t="str">
        <f t="shared" si="6"/>
        <v/>
      </c>
      <c r="J22" s="7">
        <v>5</v>
      </c>
    </row>
    <row r="23" spans="1:10">
      <c r="A23" s="307" t="str">
        <f t="shared" si="0"/>
        <v/>
      </c>
      <c r="B23" s="308" t="str">
        <f t="shared" si="2"/>
        <v/>
      </c>
      <c r="C23" s="309" t="str">
        <f t="shared" si="3"/>
        <v/>
      </c>
      <c r="D23" s="309" t="str">
        <f t="shared" si="1"/>
        <v/>
      </c>
      <c r="E23" s="309" t="str">
        <f t="shared" si="4"/>
        <v/>
      </c>
      <c r="F23" s="309" t="str">
        <f t="shared" si="5"/>
        <v/>
      </c>
      <c r="G23" s="309" t="str">
        <f t="shared" si="6"/>
        <v/>
      </c>
      <c r="J23" s="7">
        <v>6</v>
      </c>
    </row>
    <row r="24" spans="1:10">
      <c r="A24" s="307" t="str">
        <f t="shared" si="0"/>
        <v/>
      </c>
      <c r="B24" s="308" t="str">
        <f t="shared" si="2"/>
        <v/>
      </c>
      <c r="C24" s="309" t="str">
        <f t="shared" si="3"/>
        <v/>
      </c>
      <c r="D24" s="309" t="str">
        <f t="shared" si="1"/>
        <v/>
      </c>
      <c r="E24" s="309" t="str">
        <f t="shared" si="4"/>
        <v/>
      </c>
      <c r="F24" s="309" t="str">
        <f t="shared" si="5"/>
        <v/>
      </c>
      <c r="G24" s="309" t="str">
        <f t="shared" si="6"/>
        <v/>
      </c>
      <c r="J24" s="7">
        <v>7</v>
      </c>
    </row>
    <row r="25" spans="1:10">
      <c r="A25" s="307" t="str">
        <f t="shared" si="0"/>
        <v/>
      </c>
      <c r="B25" s="308" t="str">
        <f t="shared" si="2"/>
        <v/>
      </c>
      <c r="C25" s="309" t="str">
        <f t="shared" si="3"/>
        <v/>
      </c>
      <c r="D25" s="309" t="str">
        <f t="shared" si="1"/>
        <v/>
      </c>
      <c r="E25" s="309" t="str">
        <f t="shared" si="4"/>
        <v/>
      </c>
      <c r="F25" s="309" t="str">
        <f t="shared" si="5"/>
        <v/>
      </c>
      <c r="G25" s="309" t="str">
        <f t="shared" si="6"/>
        <v/>
      </c>
      <c r="J25" s="7">
        <v>8</v>
      </c>
    </row>
    <row r="26" spans="1:10">
      <c r="A26" s="307" t="str">
        <f t="shared" si="0"/>
        <v/>
      </c>
      <c r="B26" s="308" t="str">
        <f t="shared" si="2"/>
        <v/>
      </c>
      <c r="C26" s="309" t="str">
        <f t="shared" si="3"/>
        <v/>
      </c>
      <c r="D26" s="309" t="str">
        <f t="shared" si="1"/>
        <v/>
      </c>
      <c r="E26" s="309" t="str">
        <f t="shared" si="4"/>
        <v/>
      </c>
      <c r="F26" s="309" t="str">
        <f t="shared" si="5"/>
        <v/>
      </c>
      <c r="G26" s="309" t="str">
        <f t="shared" si="6"/>
        <v/>
      </c>
      <c r="J26" s="7">
        <v>9</v>
      </c>
    </row>
    <row r="27" spans="1:10">
      <c r="A27" s="307" t="str">
        <f t="shared" si="0"/>
        <v/>
      </c>
      <c r="B27" s="308" t="str">
        <f t="shared" si="2"/>
        <v/>
      </c>
      <c r="C27" s="309" t="str">
        <f t="shared" si="3"/>
        <v/>
      </c>
      <c r="D27" s="309" t="str">
        <f t="shared" si="1"/>
        <v/>
      </c>
      <c r="E27" s="309" t="str">
        <f t="shared" si="4"/>
        <v/>
      </c>
      <c r="F27" s="309" t="str">
        <f t="shared" si="5"/>
        <v/>
      </c>
      <c r="G27" s="309" t="str">
        <f t="shared" si="6"/>
        <v/>
      </c>
      <c r="J27" s="7">
        <v>10</v>
      </c>
    </row>
    <row r="28" spans="1:10">
      <c r="A28" s="307" t="str">
        <f t="shared" si="0"/>
        <v/>
      </c>
      <c r="B28" s="308" t="str">
        <f t="shared" si="2"/>
        <v/>
      </c>
      <c r="C28" s="309" t="str">
        <f t="shared" si="3"/>
        <v/>
      </c>
      <c r="D28" s="309" t="str">
        <f t="shared" si="1"/>
        <v/>
      </c>
      <c r="E28" s="309" t="str">
        <f t="shared" si="4"/>
        <v/>
      </c>
      <c r="F28" s="309" t="str">
        <f t="shared" si="5"/>
        <v/>
      </c>
      <c r="G28" s="309" t="str">
        <f t="shared" si="6"/>
        <v/>
      </c>
      <c r="J28" s="7">
        <v>11</v>
      </c>
    </row>
    <row r="29" spans="1:10">
      <c r="A29" s="307" t="str">
        <f t="shared" si="0"/>
        <v/>
      </c>
      <c r="B29" s="308" t="str">
        <f t="shared" si="2"/>
        <v/>
      </c>
      <c r="C29" s="309" t="str">
        <f t="shared" si="3"/>
        <v/>
      </c>
      <c r="D29" s="309" t="str">
        <f t="shared" si="1"/>
        <v/>
      </c>
      <c r="E29" s="309" t="str">
        <f t="shared" si="4"/>
        <v/>
      </c>
      <c r="F29" s="309" t="str">
        <f t="shared" si="5"/>
        <v/>
      </c>
      <c r="G29" s="309" t="str">
        <f t="shared" si="6"/>
        <v/>
      </c>
      <c r="J29" s="7">
        <v>12</v>
      </c>
    </row>
    <row r="30" spans="1:10">
      <c r="A30" s="307" t="str">
        <f t="shared" si="0"/>
        <v/>
      </c>
      <c r="B30" s="308" t="str">
        <f t="shared" si="2"/>
        <v/>
      </c>
      <c r="C30" s="309" t="str">
        <f t="shared" si="3"/>
        <v/>
      </c>
      <c r="D30" s="309" t="str">
        <f t="shared" si="1"/>
        <v/>
      </c>
      <c r="E30" s="309" t="str">
        <f t="shared" si="4"/>
        <v/>
      </c>
      <c r="F30" s="309" t="str">
        <f t="shared" si="5"/>
        <v/>
      </c>
      <c r="G30" s="309" t="str">
        <f t="shared" si="6"/>
        <v/>
      </c>
      <c r="J30" s="7">
        <v>13</v>
      </c>
    </row>
    <row r="31" spans="1:10">
      <c r="A31" s="307" t="str">
        <f t="shared" si="0"/>
        <v/>
      </c>
      <c r="B31" s="308" t="str">
        <f t="shared" si="2"/>
        <v/>
      </c>
      <c r="C31" s="309" t="str">
        <f t="shared" si="3"/>
        <v/>
      </c>
      <c r="D31" s="309" t="str">
        <f t="shared" si="1"/>
        <v/>
      </c>
      <c r="E31" s="309" t="str">
        <f t="shared" si="4"/>
        <v/>
      </c>
      <c r="F31" s="309" t="str">
        <f t="shared" si="5"/>
        <v/>
      </c>
      <c r="G31" s="309" t="str">
        <f t="shared" si="6"/>
        <v/>
      </c>
      <c r="J31" s="7">
        <v>14</v>
      </c>
    </row>
    <row r="32" spans="1:10">
      <c r="A32" s="307" t="str">
        <f t="shared" si="0"/>
        <v/>
      </c>
      <c r="B32" s="308" t="str">
        <f t="shared" si="2"/>
        <v/>
      </c>
      <c r="C32" s="309" t="str">
        <f t="shared" si="3"/>
        <v/>
      </c>
      <c r="D32" s="309" t="str">
        <f t="shared" si="1"/>
        <v/>
      </c>
      <c r="E32" s="309" t="str">
        <f t="shared" si="4"/>
        <v/>
      </c>
      <c r="F32" s="309" t="str">
        <f t="shared" si="5"/>
        <v/>
      </c>
      <c r="G32" s="309" t="str">
        <f t="shared" si="6"/>
        <v/>
      </c>
      <c r="J32" s="7">
        <v>15</v>
      </c>
    </row>
    <row r="33" spans="1:10">
      <c r="A33" s="307" t="str">
        <f t="shared" si="0"/>
        <v/>
      </c>
      <c r="B33" s="308" t="str">
        <f t="shared" si="2"/>
        <v/>
      </c>
      <c r="C33" s="309" t="str">
        <f t="shared" si="3"/>
        <v/>
      </c>
      <c r="D33" s="309" t="str">
        <f t="shared" si="1"/>
        <v/>
      </c>
      <c r="E33" s="309" t="str">
        <f t="shared" si="4"/>
        <v/>
      </c>
      <c r="F33" s="309" t="str">
        <f t="shared" si="5"/>
        <v/>
      </c>
      <c r="G33" s="309" t="str">
        <f t="shared" si="6"/>
        <v/>
      </c>
      <c r="J33" s="7">
        <v>16</v>
      </c>
    </row>
    <row r="34" spans="1:10">
      <c r="A34" s="307" t="str">
        <f t="shared" si="0"/>
        <v/>
      </c>
      <c r="B34" s="308" t="str">
        <f t="shared" si="2"/>
        <v/>
      </c>
      <c r="C34" s="309" t="str">
        <f t="shared" si="3"/>
        <v/>
      </c>
      <c r="D34" s="309" t="str">
        <f t="shared" si="1"/>
        <v/>
      </c>
      <c r="E34" s="309" t="str">
        <f t="shared" si="4"/>
        <v/>
      </c>
      <c r="F34" s="309" t="str">
        <f t="shared" si="5"/>
        <v/>
      </c>
      <c r="G34" s="309" t="str">
        <f t="shared" si="6"/>
        <v/>
      </c>
      <c r="J34" s="7">
        <v>17</v>
      </c>
    </row>
    <row r="35" spans="1:10">
      <c r="A35" s="307" t="str">
        <f t="shared" si="0"/>
        <v/>
      </c>
      <c r="B35" s="308" t="str">
        <f t="shared" si="2"/>
        <v/>
      </c>
      <c r="C35" s="309" t="str">
        <f t="shared" si="3"/>
        <v/>
      </c>
      <c r="D35" s="309" t="str">
        <f t="shared" si="1"/>
        <v/>
      </c>
      <c r="E35" s="309" t="str">
        <f t="shared" si="4"/>
        <v/>
      </c>
      <c r="F35" s="309" t="str">
        <f t="shared" si="5"/>
        <v/>
      </c>
      <c r="G35" s="309" t="str">
        <f t="shared" si="6"/>
        <v/>
      </c>
      <c r="J35" s="7">
        <v>18</v>
      </c>
    </row>
    <row r="36" spans="1:10">
      <c r="A36" s="307" t="str">
        <f t="shared" si="0"/>
        <v/>
      </c>
      <c r="B36" s="308" t="str">
        <f t="shared" si="2"/>
        <v/>
      </c>
      <c r="C36" s="309" t="str">
        <f t="shared" si="3"/>
        <v/>
      </c>
      <c r="D36" s="309" t="str">
        <f t="shared" si="1"/>
        <v/>
      </c>
      <c r="E36" s="309" t="str">
        <f t="shared" si="4"/>
        <v/>
      </c>
      <c r="F36" s="309" t="str">
        <f t="shared" si="5"/>
        <v/>
      </c>
      <c r="G36" s="309" t="str">
        <f t="shared" si="6"/>
        <v/>
      </c>
      <c r="J36" s="7">
        <v>19</v>
      </c>
    </row>
    <row r="37" spans="1:10">
      <c r="A37" s="307" t="str">
        <f t="shared" si="0"/>
        <v/>
      </c>
      <c r="B37" s="308" t="str">
        <f t="shared" si="2"/>
        <v/>
      </c>
      <c r="C37" s="309" t="str">
        <f t="shared" si="3"/>
        <v/>
      </c>
      <c r="D37" s="309" t="str">
        <f t="shared" si="1"/>
        <v/>
      </c>
      <c r="E37" s="309" t="str">
        <f t="shared" si="4"/>
        <v/>
      </c>
      <c r="F37" s="309" t="str">
        <f t="shared" si="5"/>
        <v/>
      </c>
      <c r="G37" s="309" t="str">
        <f t="shared" si="6"/>
        <v/>
      </c>
      <c r="J37" s="7">
        <v>20</v>
      </c>
    </row>
    <row r="38" spans="1:10">
      <c r="A38" s="307" t="str">
        <f t="shared" si="0"/>
        <v/>
      </c>
      <c r="B38" s="308" t="str">
        <f t="shared" si="2"/>
        <v/>
      </c>
      <c r="C38" s="309" t="str">
        <f t="shared" si="3"/>
        <v/>
      </c>
      <c r="D38" s="309" t="str">
        <f t="shared" si="1"/>
        <v/>
      </c>
      <c r="E38" s="309" t="str">
        <f t="shared" si="4"/>
        <v/>
      </c>
      <c r="F38" s="309" t="str">
        <f t="shared" si="5"/>
        <v/>
      </c>
      <c r="G38" s="309" t="str">
        <f t="shared" si="6"/>
        <v/>
      </c>
      <c r="J38" s="7">
        <v>21</v>
      </c>
    </row>
    <row r="39" spans="1:10">
      <c r="A39" s="307" t="str">
        <f t="shared" si="0"/>
        <v/>
      </c>
      <c r="B39" s="308" t="str">
        <f t="shared" si="2"/>
        <v/>
      </c>
      <c r="C39" s="309" t="str">
        <f t="shared" si="3"/>
        <v/>
      </c>
      <c r="D39" s="309" t="str">
        <f t="shared" si="1"/>
        <v/>
      </c>
      <c r="E39" s="309" t="str">
        <f t="shared" si="4"/>
        <v/>
      </c>
      <c r="F39" s="309" t="str">
        <f t="shared" si="5"/>
        <v/>
      </c>
      <c r="G39" s="309" t="str">
        <f t="shared" si="6"/>
        <v/>
      </c>
      <c r="J39" s="7">
        <v>22</v>
      </c>
    </row>
    <row r="40" spans="1:10">
      <c r="A40" s="307" t="str">
        <f t="shared" si="0"/>
        <v/>
      </c>
      <c r="B40" s="308" t="str">
        <f t="shared" si="2"/>
        <v/>
      </c>
      <c r="C40" s="309" t="str">
        <f t="shared" si="3"/>
        <v/>
      </c>
      <c r="D40" s="309" t="str">
        <f t="shared" si="1"/>
        <v/>
      </c>
      <c r="E40" s="309" t="str">
        <f t="shared" si="4"/>
        <v/>
      </c>
      <c r="F40" s="309" t="str">
        <f t="shared" si="5"/>
        <v/>
      </c>
      <c r="G40" s="309" t="str">
        <f t="shared" si="6"/>
        <v/>
      </c>
      <c r="J40" s="7">
        <v>23</v>
      </c>
    </row>
    <row r="41" spans="1:10">
      <c r="A41" s="307" t="str">
        <f t="shared" si="0"/>
        <v/>
      </c>
      <c r="B41" s="308" t="str">
        <f t="shared" si="2"/>
        <v/>
      </c>
      <c r="C41" s="309" t="str">
        <f t="shared" si="3"/>
        <v/>
      </c>
      <c r="D41" s="309" t="str">
        <f t="shared" si="1"/>
        <v/>
      </c>
      <c r="E41" s="309" t="str">
        <f t="shared" si="4"/>
        <v/>
      </c>
      <c r="F41" s="309" t="str">
        <f t="shared" si="5"/>
        <v/>
      </c>
      <c r="G41" s="309" t="str">
        <f t="shared" si="6"/>
        <v/>
      </c>
      <c r="J41" s="7">
        <v>24</v>
      </c>
    </row>
    <row r="42" spans="1:10">
      <c r="A42" s="307" t="str">
        <f t="shared" si="0"/>
        <v/>
      </c>
      <c r="B42" s="308" t="str">
        <f t="shared" si="2"/>
        <v/>
      </c>
      <c r="C42" s="309" t="str">
        <f t="shared" si="3"/>
        <v/>
      </c>
      <c r="D42" s="309" t="str">
        <f t="shared" si="1"/>
        <v/>
      </c>
      <c r="E42" s="309" t="str">
        <f t="shared" si="4"/>
        <v/>
      </c>
      <c r="F42" s="309" t="str">
        <f t="shared" si="5"/>
        <v/>
      </c>
      <c r="G42" s="309" t="str">
        <f t="shared" si="6"/>
        <v/>
      </c>
      <c r="J42" s="7">
        <v>25</v>
      </c>
    </row>
    <row r="43" spans="1:10">
      <c r="A43" s="307" t="str">
        <f t="shared" si="0"/>
        <v/>
      </c>
      <c r="B43" s="308" t="str">
        <f t="shared" si="2"/>
        <v/>
      </c>
      <c r="C43" s="309" t="str">
        <f t="shared" si="3"/>
        <v/>
      </c>
      <c r="D43" s="309" t="str">
        <f t="shared" si="1"/>
        <v/>
      </c>
      <c r="E43" s="309" t="str">
        <f t="shared" si="4"/>
        <v/>
      </c>
      <c r="F43" s="309" t="str">
        <f t="shared" si="5"/>
        <v/>
      </c>
      <c r="G43" s="309" t="str">
        <f t="shared" si="6"/>
        <v/>
      </c>
      <c r="J43" s="7">
        <v>26</v>
      </c>
    </row>
    <row r="44" spans="1:10">
      <c r="A44" s="307" t="str">
        <f t="shared" si="0"/>
        <v/>
      </c>
      <c r="B44" s="308" t="str">
        <f t="shared" si="2"/>
        <v/>
      </c>
      <c r="C44" s="309" t="str">
        <f t="shared" si="3"/>
        <v/>
      </c>
      <c r="D44" s="309" t="str">
        <f t="shared" si="1"/>
        <v/>
      </c>
      <c r="E44" s="309" t="str">
        <f t="shared" si="4"/>
        <v/>
      </c>
      <c r="F44" s="309" t="str">
        <f t="shared" si="5"/>
        <v/>
      </c>
      <c r="G44" s="309" t="str">
        <f t="shared" si="6"/>
        <v/>
      </c>
      <c r="J44" s="7">
        <v>27</v>
      </c>
    </row>
    <row r="45" spans="1:10">
      <c r="A45" s="307" t="str">
        <f t="shared" si="0"/>
        <v/>
      </c>
      <c r="B45" s="308" t="str">
        <f t="shared" si="2"/>
        <v/>
      </c>
      <c r="C45" s="309" t="str">
        <f t="shared" si="3"/>
        <v/>
      </c>
      <c r="D45" s="309" t="str">
        <f t="shared" si="1"/>
        <v/>
      </c>
      <c r="E45" s="309" t="str">
        <f t="shared" si="4"/>
        <v/>
      </c>
      <c r="F45" s="309" t="str">
        <f t="shared" si="5"/>
        <v/>
      </c>
      <c r="G45" s="309" t="str">
        <f t="shared" si="6"/>
        <v/>
      </c>
      <c r="J45" s="7">
        <v>28</v>
      </c>
    </row>
    <row r="46" spans="1:10">
      <c r="A46" s="307" t="str">
        <f t="shared" si="0"/>
        <v/>
      </c>
      <c r="B46" s="308" t="str">
        <f t="shared" si="2"/>
        <v/>
      </c>
      <c r="C46" s="309" t="str">
        <f t="shared" si="3"/>
        <v/>
      </c>
      <c r="D46" s="309" t="str">
        <f t="shared" si="1"/>
        <v/>
      </c>
      <c r="E46" s="309" t="str">
        <f t="shared" si="4"/>
        <v/>
      </c>
      <c r="F46" s="309" t="str">
        <f t="shared" si="5"/>
        <v/>
      </c>
      <c r="G46" s="309" t="str">
        <f t="shared" si="6"/>
        <v/>
      </c>
      <c r="J46" s="7">
        <v>29</v>
      </c>
    </row>
    <row r="47" spans="1:10">
      <c r="A47" s="307" t="str">
        <f t="shared" si="0"/>
        <v/>
      </c>
      <c r="B47" s="308" t="str">
        <f t="shared" si="2"/>
        <v/>
      </c>
      <c r="C47" s="309" t="str">
        <f t="shared" si="3"/>
        <v/>
      </c>
      <c r="D47" s="309" t="str">
        <f t="shared" si="1"/>
        <v/>
      </c>
      <c r="E47" s="309" t="str">
        <f t="shared" si="4"/>
        <v/>
      </c>
      <c r="F47" s="309" t="str">
        <f t="shared" si="5"/>
        <v/>
      </c>
      <c r="G47" s="309" t="str">
        <f t="shared" si="6"/>
        <v/>
      </c>
      <c r="J47" s="7">
        <v>30</v>
      </c>
    </row>
    <row r="48" spans="1:10">
      <c r="A48" s="307" t="str">
        <f t="shared" si="0"/>
        <v/>
      </c>
      <c r="B48" s="308" t="str">
        <f t="shared" si="2"/>
        <v/>
      </c>
      <c r="C48" s="309" t="str">
        <f t="shared" si="3"/>
        <v/>
      </c>
      <c r="D48" s="309" t="str">
        <f t="shared" si="1"/>
        <v/>
      </c>
      <c r="E48" s="309" t="str">
        <f t="shared" si="4"/>
        <v/>
      </c>
      <c r="F48" s="309" t="str">
        <f t="shared" si="5"/>
        <v/>
      </c>
      <c r="G48" s="309" t="str">
        <f t="shared" si="6"/>
        <v/>
      </c>
      <c r="J48" s="7">
        <v>31</v>
      </c>
    </row>
    <row r="49" spans="1:10">
      <c r="A49" s="307" t="str">
        <f t="shared" si="0"/>
        <v/>
      </c>
      <c r="B49" s="308" t="str">
        <f t="shared" si="2"/>
        <v/>
      </c>
      <c r="C49" s="309" t="str">
        <f t="shared" si="3"/>
        <v/>
      </c>
      <c r="D49" s="309" t="str">
        <f t="shared" si="1"/>
        <v/>
      </c>
      <c r="E49" s="309" t="str">
        <f t="shared" si="4"/>
        <v/>
      </c>
      <c r="F49" s="309" t="str">
        <f t="shared" si="5"/>
        <v/>
      </c>
      <c r="G49" s="309" t="str">
        <f t="shared" si="6"/>
        <v/>
      </c>
      <c r="J49" s="7">
        <v>32</v>
      </c>
    </row>
    <row r="50" spans="1:10">
      <c r="A50" s="307" t="str">
        <f t="shared" si="0"/>
        <v/>
      </c>
      <c r="B50" s="308" t="str">
        <f t="shared" si="2"/>
        <v/>
      </c>
      <c r="C50" s="309" t="str">
        <f t="shared" si="3"/>
        <v/>
      </c>
      <c r="D50" s="309" t="str">
        <f t="shared" si="1"/>
        <v/>
      </c>
      <c r="E50" s="309" t="str">
        <f t="shared" si="4"/>
        <v/>
      </c>
      <c r="F50" s="309" t="str">
        <f t="shared" si="5"/>
        <v/>
      </c>
      <c r="G50" s="309" t="str">
        <f t="shared" si="6"/>
        <v/>
      </c>
      <c r="J50" s="7">
        <v>33</v>
      </c>
    </row>
    <row r="51" spans="1:10">
      <c r="A51" s="307" t="str">
        <f t="shared" si="0"/>
        <v/>
      </c>
      <c r="B51" s="308" t="str">
        <f t="shared" si="2"/>
        <v/>
      </c>
      <c r="C51" s="309" t="str">
        <f t="shared" si="3"/>
        <v/>
      </c>
      <c r="D51" s="309" t="str">
        <f t="shared" si="1"/>
        <v/>
      </c>
      <c r="E51" s="309" t="str">
        <f t="shared" si="4"/>
        <v/>
      </c>
      <c r="F51" s="309" t="str">
        <f t="shared" si="5"/>
        <v/>
      </c>
      <c r="G51" s="309" t="str">
        <f t="shared" si="6"/>
        <v/>
      </c>
      <c r="J51" s="7">
        <v>34</v>
      </c>
    </row>
    <row r="52" spans="1:10">
      <c r="A52" s="307" t="str">
        <f t="shared" si="0"/>
        <v/>
      </c>
      <c r="B52" s="308" t="str">
        <f t="shared" si="2"/>
        <v/>
      </c>
      <c r="C52" s="309" t="str">
        <f t="shared" si="3"/>
        <v/>
      </c>
      <c r="D52" s="309" t="str">
        <f t="shared" si="1"/>
        <v/>
      </c>
      <c r="E52" s="309" t="str">
        <f t="shared" si="4"/>
        <v/>
      </c>
      <c r="F52" s="309" t="str">
        <f t="shared" si="5"/>
        <v/>
      </c>
      <c r="G52" s="309" t="str">
        <f t="shared" si="6"/>
        <v/>
      </c>
      <c r="J52" s="7">
        <v>35</v>
      </c>
    </row>
    <row r="53" spans="1:10">
      <c r="A53" s="307" t="str">
        <f t="shared" si="0"/>
        <v/>
      </c>
      <c r="B53" s="308" t="str">
        <f t="shared" si="2"/>
        <v/>
      </c>
      <c r="C53" s="309" t="str">
        <f t="shared" si="3"/>
        <v/>
      </c>
      <c r="D53" s="309" t="str">
        <f t="shared" si="1"/>
        <v/>
      </c>
      <c r="E53" s="309" t="str">
        <f t="shared" si="4"/>
        <v/>
      </c>
      <c r="F53" s="309" t="str">
        <f t="shared" si="5"/>
        <v/>
      </c>
      <c r="G53" s="309" t="str">
        <f t="shared" si="6"/>
        <v/>
      </c>
      <c r="J53" s="7">
        <v>36</v>
      </c>
    </row>
    <row r="54" spans="1:10">
      <c r="A54" s="307" t="str">
        <f t="shared" si="0"/>
        <v/>
      </c>
      <c r="B54" s="308" t="str">
        <f t="shared" si="2"/>
        <v/>
      </c>
      <c r="C54" s="309" t="str">
        <f t="shared" si="3"/>
        <v/>
      </c>
      <c r="D54" s="309" t="str">
        <f t="shared" si="1"/>
        <v/>
      </c>
      <c r="E54" s="309" t="str">
        <f t="shared" si="4"/>
        <v/>
      </c>
      <c r="F54" s="309" t="str">
        <f t="shared" si="5"/>
        <v/>
      </c>
      <c r="G54" s="309" t="str">
        <f t="shared" si="6"/>
        <v/>
      </c>
      <c r="J54" s="7">
        <v>37</v>
      </c>
    </row>
    <row r="55" spans="1:10">
      <c r="A55" s="307" t="str">
        <f t="shared" si="0"/>
        <v/>
      </c>
      <c r="B55" s="308" t="str">
        <f t="shared" si="2"/>
        <v/>
      </c>
      <c r="C55" s="309" t="str">
        <f t="shared" si="3"/>
        <v/>
      </c>
      <c r="D55" s="309" t="str">
        <f t="shared" si="1"/>
        <v/>
      </c>
      <c r="E55" s="309" t="str">
        <f t="shared" si="4"/>
        <v/>
      </c>
      <c r="F55" s="309" t="str">
        <f t="shared" si="5"/>
        <v/>
      </c>
      <c r="G55" s="309" t="str">
        <f t="shared" si="6"/>
        <v/>
      </c>
      <c r="J55" s="7">
        <v>38</v>
      </c>
    </row>
    <row r="56" spans="1:10">
      <c r="A56" s="307" t="str">
        <f t="shared" si="0"/>
        <v/>
      </c>
      <c r="B56" s="308" t="str">
        <f t="shared" si="2"/>
        <v/>
      </c>
      <c r="C56" s="309" t="str">
        <f t="shared" si="3"/>
        <v/>
      </c>
      <c r="D56" s="309" t="str">
        <f t="shared" si="1"/>
        <v/>
      </c>
      <c r="E56" s="309" t="str">
        <f t="shared" si="4"/>
        <v/>
      </c>
      <c r="F56" s="309" t="str">
        <f t="shared" si="5"/>
        <v/>
      </c>
      <c r="G56" s="309" t="str">
        <f t="shared" si="6"/>
        <v/>
      </c>
      <c r="J56" s="7">
        <v>39</v>
      </c>
    </row>
    <row r="57" spans="1:10">
      <c r="A57" s="307" t="str">
        <f t="shared" si="0"/>
        <v/>
      </c>
      <c r="B57" s="308" t="str">
        <f t="shared" si="2"/>
        <v/>
      </c>
      <c r="C57" s="309" t="str">
        <f t="shared" si="3"/>
        <v/>
      </c>
      <c r="D57" s="309" t="str">
        <f t="shared" si="1"/>
        <v/>
      </c>
      <c r="E57" s="309" t="str">
        <f t="shared" si="4"/>
        <v/>
      </c>
      <c r="F57" s="309" t="str">
        <f t="shared" si="5"/>
        <v/>
      </c>
      <c r="G57" s="309" t="str">
        <f t="shared" si="6"/>
        <v/>
      </c>
      <c r="J57" s="7">
        <v>40</v>
      </c>
    </row>
    <row r="58" spans="1:10">
      <c r="A58" s="307" t="str">
        <f t="shared" si="0"/>
        <v/>
      </c>
      <c r="B58" s="308" t="str">
        <f t="shared" si="2"/>
        <v/>
      </c>
      <c r="C58" s="309" t="str">
        <f t="shared" si="3"/>
        <v/>
      </c>
      <c r="D58" s="309" t="str">
        <f t="shared" si="1"/>
        <v/>
      </c>
      <c r="E58" s="309" t="str">
        <f t="shared" si="4"/>
        <v/>
      </c>
      <c r="F58" s="309" t="str">
        <f t="shared" si="5"/>
        <v/>
      </c>
      <c r="G58" s="309" t="str">
        <f t="shared" si="6"/>
        <v/>
      </c>
      <c r="J58" s="7">
        <v>41</v>
      </c>
    </row>
    <row r="59" spans="1:10">
      <c r="A59" s="307" t="str">
        <f t="shared" si="0"/>
        <v/>
      </c>
      <c r="B59" s="308" t="str">
        <f t="shared" si="2"/>
        <v/>
      </c>
      <c r="C59" s="309" t="str">
        <f t="shared" si="3"/>
        <v/>
      </c>
      <c r="D59" s="309" t="str">
        <f t="shared" si="1"/>
        <v/>
      </c>
      <c r="E59" s="309" t="str">
        <f t="shared" si="4"/>
        <v/>
      </c>
      <c r="F59" s="309" t="str">
        <f t="shared" si="5"/>
        <v/>
      </c>
      <c r="G59" s="309" t="str">
        <f t="shared" si="6"/>
        <v/>
      </c>
      <c r="J59" s="7">
        <v>42</v>
      </c>
    </row>
    <row r="60" spans="1:10">
      <c r="A60" s="307" t="str">
        <f t="shared" si="0"/>
        <v/>
      </c>
      <c r="B60" s="308" t="str">
        <f t="shared" si="2"/>
        <v/>
      </c>
      <c r="C60" s="309" t="str">
        <f t="shared" si="3"/>
        <v/>
      </c>
      <c r="D60" s="309" t="str">
        <f t="shared" si="1"/>
        <v/>
      </c>
      <c r="E60" s="309" t="str">
        <f t="shared" si="4"/>
        <v/>
      </c>
      <c r="F60" s="309" t="str">
        <f t="shared" si="5"/>
        <v/>
      </c>
      <c r="G60" s="309" t="str">
        <f t="shared" si="6"/>
        <v/>
      </c>
      <c r="J60" s="7">
        <v>43</v>
      </c>
    </row>
    <row r="61" spans="1:10">
      <c r="A61" s="307" t="str">
        <f t="shared" si="0"/>
        <v/>
      </c>
      <c r="B61" s="308" t="str">
        <f t="shared" si="2"/>
        <v/>
      </c>
      <c r="C61" s="309" t="str">
        <f t="shared" si="3"/>
        <v/>
      </c>
      <c r="D61" s="309" t="str">
        <f t="shared" si="1"/>
        <v/>
      </c>
      <c r="E61" s="309" t="str">
        <f t="shared" si="4"/>
        <v/>
      </c>
      <c r="F61" s="309" t="str">
        <f t="shared" si="5"/>
        <v/>
      </c>
      <c r="G61" s="309" t="str">
        <f t="shared" si="6"/>
        <v/>
      </c>
      <c r="J61" s="7">
        <v>44</v>
      </c>
    </row>
    <row r="62" spans="1:10">
      <c r="A62" s="307" t="str">
        <f t="shared" si="0"/>
        <v/>
      </c>
      <c r="B62" s="308" t="str">
        <f t="shared" si="2"/>
        <v/>
      </c>
      <c r="C62" s="309" t="str">
        <f t="shared" si="3"/>
        <v/>
      </c>
      <c r="D62" s="309" t="str">
        <f t="shared" si="1"/>
        <v/>
      </c>
      <c r="E62" s="309" t="str">
        <f t="shared" si="4"/>
        <v/>
      </c>
      <c r="F62" s="309" t="str">
        <f t="shared" si="5"/>
        <v/>
      </c>
      <c r="G62" s="309" t="str">
        <f t="shared" si="6"/>
        <v/>
      </c>
      <c r="J62" s="7">
        <v>45</v>
      </c>
    </row>
    <row r="63" spans="1:10">
      <c r="A63" s="307" t="str">
        <f t="shared" si="0"/>
        <v/>
      </c>
      <c r="B63" s="308" t="str">
        <f t="shared" si="2"/>
        <v/>
      </c>
      <c r="C63" s="309" t="str">
        <f t="shared" si="3"/>
        <v/>
      </c>
      <c r="D63" s="309" t="str">
        <f t="shared" si="1"/>
        <v/>
      </c>
      <c r="E63" s="309" t="str">
        <f t="shared" si="4"/>
        <v/>
      </c>
      <c r="F63" s="309" t="str">
        <f t="shared" si="5"/>
        <v/>
      </c>
      <c r="G63" s="309" t="str">
        <f t="shared" si="6"/>
        <v/>
      </c>
      <c r="J63" s="7">
        <v>46</v>
      </c>
    </row>
    <row r="64" spans="1:10">
      <c r="A64" s="307" t="str">
        <f t="shared" si="0"/>
        <v/>
      </c>
      <c r="B64" s="308" t="str">
        <f t="shared" si="2"/>
        <v/>
      </c>
      <c r="C64" s="309" t="str">
        <f t="shared" si="3"/>
        <v/>
      </c>
      <c r="D64" s="309" t="str">
        <f t="shared" si="1"/>
        <v/>
      </c>
      <c r="E64" s="309" t="str">
        <f t="shared" si="4"/>
        <v/>
      </c>
      <c r="F64" s="309" t="str">
        <f t="shared" si="5"/>
        <v/>
      </c>
      <c r="G64" s="309" t="str">
        <f t="shared" si="6"/>
        <v/>
      </c>
      <c r="J64" s="7">
        <v>47</v>
      </c>
    </row>
    <row r="65" spans="1:10">
      <c r="A65" s="307" t="str">
        <f t="shared" si="0"/>
        <v/>
      </c>
      <c r="B65" s="308" t="str">
        <f t="shared" si="2"/>
        <v/>
      </c>
      <c r="C65" s="309" t="str">
        <f t="shared" si="3"/>
        <v/>
      </c>
      <c r="D65" s="309" t="str">
        <f t="shared" si="1"/>
        <v/>
      </c>
      <c r="E65" s="309" t="str">
        <f t="shared" si="4"/>
        <v/>
      </c>
      <c r="F65" s="309" t="str">
        <f t="shared" si="5"/>
        <v/>
      </c>
      <c r="G65" s="309" t="str">
        <f t="shared" si="6"/>
        <v/>
      </c>
      <c r="J65" s="7">
        <v>48</v>
      </c>
    </row>
    <row r="66" spans="1:10">
      <c r="A66" s="307" t="str">
        <f t="shared" si="0"/>
        <v/>
      </c>
      <c r="B66" s="308" t="str">
        <f t="shared" si="2"/>
        <v/>
      </c>
      <c r="C66" s="309" t="str">
        <f t="shared" si="3"/>
        <v/>
      </c>
      <c r="D66" s="309" t="str">
        <f t="shared" si="1"/>
        <v/>
      </c>
      <c r="E66" s="309" t="str">
        <f t="shared" si="4"/>
        <v/>
      </c>
      <c r="F66" s="309" t="str">
        <f t="shared" si="5"/>
        <v/>
      </c>
      <c r="G66" s="309" t="str">
        <f t="shared" si="6"/>
        <v/>
      </c>
      <c r="J66" s="7">
        <v>49</v>
      </c>
    </row>
    <row r="67" spans="1:10">
      <c r="A67" s="307" t="str">
        <f t="shared" si="0"/>
        <v/>
      </c>
      <c r="B67" s="308" t="str">
        <f t="shared" si="2"/>
        <v/>
      </c>
      <c r="C67" s="309" t="str">
        <f t="shared" si="3"/>
        <v/>
      </c>
      <c r="D67" s="309" t="str">
        <f t="shared" si="1"/>
        <v/>
      </c>
      <c r="E67" s="309" t="str">
        <f t="shared" si="4"/>
        <v/>
      </c>
      <c r="F67" s="309" t="str">
        <f t="shared" si="5"/>
        <v/>
      </c>
      <c r="G67" s="309" t="str">
        <f t="shared" si="6"/>
        <v/>
      </c>
      <c r="J67" s="7">
        <v>50</v>
      </c>
    </row>
    <row r="68" spans="1:10">
      <c r="A68" s="307" t="str">
        <f t="shared" si="0"/>
        <v/>
      </c>
      <c r="B68" s="308" t="str">
        <f t="shared" si="2"/>
        <v/>
      </c>
      <c r="C68" s="309" t="str">
        <f t="shared" si="3"/>
        <v/>
      </c>
      <c r="D68" s="309" t="str">
        <f t="shared" si="1"/>
        <v/>
      </c>
      <c r="E68" s="309" t="str">
        <f t="shared" si="4"/>
        <v/>
      </c>
      <c r="F68" s="309" t="str">
        <f t="shared" si="5"/>
        <v/>
      </c>
      <c r="G68" s="309" t="str">
        <f t="shared" si="6"/>
        <v/>
      </c>
      <c r="J68" s="7">
        <v>51</v>
      </c>
    </row>
    <row r="69" spans="1:10">
      <c r="A69" s="307" t="str">
        <f t="shared" si="0"/>
        <v/>
      </c>
      <c r="B69" s="308" t="str">
        <f t="shared" si="2"/>
        <v/>
      </c>
      <c r="C69" s="309" t="str">
        <f t="shared" si="3"/>
        <v/>
      </c>
      <c r="D69" s="309" t="str">
        <f t="shared" si="1"/>
        <v/>
      </c>
      <c r="E69" s="309" t="str">
        <f t="shared" si="4"/>
        <v/>
      </c>
      <c r="F69" s="309" t="str">
        <f t="shared" si="5"/>
        <v/>
      </c>
      <c r="G69" s="309" t="str">
        <f t="shared" si="6"/>
        <v/>
      </c>
      <c r="J69" s="7">
        <v>52</v>
      </c>
    </row>
    <row r="70" spans="1:10">
      <c r="A70" s="307" t="str">
        <f t="shared" si="0"/>
        <v/>
      </c>
      <c r="B70" s="308" t="str">
        <f t="shared" si="2"/>
        <v/>
      </c>
      <c r="C70" s="309" t="str">
        <f t="shared" si="3"/>
        <v/>
      </c>
      <c r="D70" s="309" t="str">
        <f t="shared" si="1"/>
        <v/>
      </c>
      <c r="E70" s="309" t="str">
        <f t="shared" si="4"/>
        <v/>
      </c>
      <c r="F70" s="309" t="str">
        <f t="shared" si="5"/>
        <v/>
      </c>
      <c r="G70" s="309" t="str">
        <f t="shared" si="6"/>
        <v/>
      </c>
      <c r="J70" s="7">
        <v>53</v>
      </c>
    </row>
    <row r="71" spans="1:10">
      <c r="A71" s="307" t="str">
        <f t="shared" si="0"/>
        <v/>
      </c>
      <c r="B71" s="308" t="str">
        <f t="shared" si="2"/>
        <v/>
      </c>
      <c r="C71" s="309" t="str">
        <f t="shared" si="3"/>
        <v/>
      </c>
      <c r="D71" s="309" t="str">
        <f t="shared" si="1"/>
        <v/>
      </c>
      <c r="E71" s="309" t="str">
        <f t="shared" si="4"/>
        <v/>
      </c>
      <c r="F71" s="309" t="str">
        <f t="shared" si="5"/>
        <v/>
      </c>
      <c r="G71" s="309" t="str">
        <f t="shared" si="6"/>
        <v/>
      </c>
      <c r="J71" s="7">
        <v>54</v>
      </c>
    </row>
    <row r="72" spans="1:10">
      <c r="A72" s="307" t="str">
        <f t="shared" si="0"/>
        <v/>
      </c>
      <c r="B72" s="308" t="str">
        <f t="shared" si="2"/>
        <v/>
      </c>
      <c r="C72" s="309" t="str">
        <f t="shared" si="3"/>
        <v/>
      </c>
      <c r="D72" s="309" t="str">
        <f t="shared" si="1"/>
        <v/>
      </c>
      <c r="E72" s="309" t="str">
        <f t="shared" si="4"/>
        <v/>
      </c>
      <c r="F72" s="309" t="str">
        <f t="shared" si="5"/>
        <v/>
      </c>
      <c r="G72" s="309" t="str">
        <f t="shared" si="6"/>
        <v/>
      </c>
      <c r="J72" s="7">
        <v>55</v>
      </c>
    </row>
    <row r="73" spans="1:10">
      <c r="A73" s="307" t="str">
        <f t="shared" si="0"/>
        <v/>
      </c>
      <c r="B73" s="308" t="str">
        <f t="shared" si="2"/>
        <v/>
      </c>
      <c r="C73" s="309" t="str">
        <f t="shared" si="3"/>
        <v/>
      </c>
      <c r="D73" s="309" t="str">
        <f t="shared" si="1"/>
        <v/>
      </c>
      <c r="E73" s="309" t="str">
        <f t="shared" si="4"/>
        <v/>
      </c>
      <c r="F73" s="309" t="str">
        <f t="shared" si="5"/>
        <v/>
      </c>
      <c r="G73" s="309" t="str">
        <f t="shared" si="6"/>
        <v/>
      </c>
      <c r="J73" s="7">
        <v>56</v>
      </c>
    </row>
    <row r="74" spans="1:10">
      <c r="A74" s="307" t="str">
        <f t="shared" si="0"/>
        <v/>
      </c>
      <c r="B74" s="308" t="str">
        <f t="shared" si="2"/>
        <v/>
      </c>
      <c r="C74" s="309" t="str">
        <f t="shared" si="3"/>
        <v/>
      </c>
      <c r="D74" s="309" t="str">
        <f t="shared" si="1"/>
        <v/>
      </c>
      <c r="E74" s="309" t="str">
        <f t="shared" si="4"/>
        <v/>
      </c>
      <c r="F74" s="309" t="str">
        <f t="shared" si="5"/>
        <v/>
      </c>
      <c r="G74" s="309" t="str">
        <f t="shared" si="6"/>
        <v/>
      </c>
      <c r="J74" s="7">
        <v>57</v>
      </c>
    </row>
    <row r="75" spans="1:10">
      <c r="A75" s="307" t="str">
        <f t="shared" si="0"/>
        <v/>
      </c>
      <c r="B75" s="308" t="str">
        <f t="shared" si="2"/>
        <v/>
      </c>
      <c r="C75" s="309" t="str">
        <f t="shared" si="3"/>
        <v/>
      </c>
      <c r="D75" s="309" t="str">
        <f t="shared" si="1"/>
        <v/>
      </c>
      <c r="E75" s="309" t="str">
        <f t="shared" si="4"/>
        <v/>
      </c>
      <c r="F75" s="309" t="str">
        <f t="shared" si="5"/>
        <v/>
      </c>
      <c r="G75" s="309" t="str">
        <f t="shared" si="6"/>
        <v/>
      </c>
      <c r="J75" s="7">
        <v>58</v>
      </c>
    </row>
    <row r="76" spans="1:10">
      <c r="A76" s="307" t="str">
        <f t="shared" si="0"/>
        <v/>
      </c>
      <c r="B76" s="308" t="str">
        <f t="shared" si="2"/>
        <v/>
      </c>
      <c r="C76" s="309" t="str">
        <f t="shared" si="3"/>
        <v/>
      </c>
      <c r="D76" s="309" t="str">
        <f t="shared" si="1"/>
        <v/>
      </c>
      <c r="E76" s="309" t="str">
        <f t="shared" si="4"/>
        <v/>
      </c>
      <c r="F76" s="309" t="str">
        <f t="shared" si="5"/>
        <v/>
      </c>
      <c r="G76" s="309" t="str">
        <f t="shared" si="6"/>
        <v/>
      </c>
      <c r="J76" s="7">
        <v>59</v>
      </c>
    </row>
    <row r="77" spans="1:10">
      <c r="A77" s="307" t="str">
        <f t="shared" si="0"/>
        <v/>
      </c>
      <c r="B77" s="308" t="str">
        <f t="shared" si="2"/>
        <v/>
      </c>
      <c r="C77" s="309" t="str">
        <f t="shared" si="3"/>
        <v/>
      </c>
      <c r="D77" s="309" t="str">
        <f t="shared" si="1"/>
        <v/>
      </c>
      <c r="E77" s="309" t="str">
        <f t="shared" si="4"/>
        <v/>
      </c>
      <c r="F77" s="309" t="str">
        <f t="shared" si="5"/>
        <v/>
      </c>
      <c r="G77" s="309" t="str">
        <f t="shared" si="6"/>
        <v/>
      </c>
      <c r="J77" s="7">
        <v>60</v>
      </c>
    </row>
    <row r="78" spans="1:10">
      <c r="A78" s="307" t="str">
        <f t="shared" si="0"/>
        <v/>
      </c>
      <c r="B78" s="308" t="str">
        <f t="shared" si="2"/>
        <v/>
      </c>
      <c r="C78" s="309" t="str">
        <f t="shared" si="3"/>
        <v/>
      </c>
      <c r="D78" s="309" t="str">
        <f t="shared" si="1"/>
        <v/>
      </c>
      <c r="E78" s="309" t="str">
        <f t="shared" si="4"/>
        <v/>
      </c>
      <c r="F78" s="309" t="str">
        <f t="shared" si="5"/>
        <v/>
      </c>
      <c r="G78" s="309" t="str">
        <f t="shared" si="6"/>
        <v/>
      </c>
      <c r="J78" s="7">
        <v>61</v>
      </c>
    </row>
    <row r="79" spans="1:10">
      <c r="A79" s="307" t="str">
        <f t="shared" si="0"/>
        <v/>
      </c>
      <c r="B79" s="308" t="str">
        <f t="shared" si="2"/>
        <v/>
      </c>
      <c r="C79" s="309" t="str">
        <f t="shared" si="3"/>
        <v/>
      </c>
      <c r="D79" s="309" t="str">
        <f t="shared" si="1"/>
        <v/>
      </c>
      <c r="E79" s="309" t="str">
        <f t="shared" si="4"/>
        <v/>
      </c>
      <c r="F79" s="309" t="str">
        <f t="shared" si="5"/>
        <v/>
      </c>
      <c r="G79" s="309" t="str">
        <f t="shared" si="6"/>
        <v/>
      </c>
      <c r="J79" s="7">
        <v>62</v>
      </c>
    </row>
    <row r="80" spans="1:10">
      <c r="A80" s="307" t="str">
        <f t="shared" si="0"/>
        <v/>
      </c>
      <c r="B80" s="308" t="str">
        <f t="shared" si="2"/>
        <v/>
      </c>
      <c r="C80" s="309" t="str">
        <f t="shared" si="3"/>
        <v/>
      </c>
      <c r="D80" s="309" t="str">
        <f t="shared" si="1"/>
        <v/>
      </c>
      <c r="E80" s="309" t="str">
        <f t="shared" si="4"/>
        <v/>
      </c>
      <c r="F80" s="309" t="str">
        <f t="shared" si="5"/>
        <v/>
      </c>
      <c r="G80" s="309" t="str">
        <f t="shared" si="6"/>
        <v/>
      </c>
      <c r="J80" s="7">
        <v>63</v>
      </c>
    </row>
    <row r="81" spans="1:10">
      <c r="A81" s="307" t="str">
        <f t="shared" si="0"/>
        <v/>
      </c>
      <c r="B81" s="308" t="str">
        <f t="shared" si="2"/>
        <v/>
      </c>
      <c r="C81" s="309" t="str">
        <f t="shared" si="3"/>
        <v/>
      </c>
      <c r="D81" s="309" t="str">
        <f>IF(A81&gt;=C$11,"",C81*F$10)</f>
        <v/>
      </c>
      <c r="E81" s="309" t="str">
        <f t="shared" si="4"/>
        <v/>
      </c>
      <c r="F81" s="309" t="str">
        <f t="shared" si="5"/>
        <v/>
      </c>
      <c r="G81" s="309" t="str">
        <f t="shared" si="6"/>
        <v/>
      </c>
      <c r="J81" s="7">
        <v>64</v>
      </c>
    </row>
    <row r="82" spans="1:10">
      <c r="A82" s="307" t="str">
        <f t="shared" si="0"/>
        <v/>
      </c>
      <c r="B82" s="308" t="str">
        <f t="shared" si="2"/>
        <v/>
      </c>
      <c r="C82" s="309" t="str">
        <f t="shared" si="3"/>
        <v/>
      </c>
      <c r="D82" s="309" t="str">
        <f>IF(A82&gt;=C$11,"",C82*F$10)</f>
        <v/>
      </c>
      <c r="E82" s="309" t="str">
        <f t="shared" si="4"/>
        <v/>
      </c>
      <c r="F82" s="309" t="str">
        <f t="shared" si="5"/>
        <v/>
      </c>
      <c r="G82" s="309" t="str">
        <f t="shared" si="6"/>
        <v/>
      </c>
      <c r="J82" s="7">
        <v>65</v>
      </c>
    </row>
    <row r="83" spans="1:10">
      <c r="A83" s="307" t="str">
        <f t="shared" ref="A83:A101" si="7">IF(J83&lt;=C$11,J83,"")</f>
        <v/>
      </c>
      <c r="B83" s="308" t="str">
        <f t="shared" si="2"/>
        <v/>
      </c>
      <c r="C83" s="309" t="str">
        <f t="shared" si="3"/>
        <v/>
      </c>
      <c r="D83" s="309" t="str">
        <f>IF(A83&gt;=C$11,"",C83*F$10)</f>
        <v/>
      </c>
      <c r="E83" s="309" t="str">
        <f t="shared" si="4"/>
        <v/>
      </c>
      <c r="F83" s="309" t="str">
        <f t="shared" si="5"/>
        <v/>
      </c>
      <c r="G83" s="309" t="str">
        <f t="shared" si="6"/>
        <v/>
      </c>
      <c r="J83" s="7">
        <v>66</v>
      </c>
    </row>
    <row r="84" spans="1:10">
      <c r="A84" s="307" t="str">
        <f t="shared" si="7"/>
        <v/>
      </c>
      <c r="B84" s="308" t="str">
        <f t="shared" ref="B84:B101" si="8">IF(A84&gt;C$11,"",EDATE(B83,1))</f>
        <v/>
      </c>
      <c r="C84" s="309" t="str">
        <f t="shared" ref="C84:C101" si="9">IF(A84&gt;C$11,"",C83-E83)</f>
        <v/>
      </c>
      <c r="D84" s="309" t="str">
        <f t="shared" ref="D84:D101" si="10">IF(A84&gt;=C$11,"",C84*F$10)</f>
        <v/>
      </c>
      <c r="E84" s="309" t="str">
        <f t="shared" ref="E84:E101" si="11">IF(A84&gt;C$11,"",F84-D84)</f>
        <v/>
      </c>
      <c r="F84" s="309" t="str">
        <f t="shared" ref="F84:F101" si="12">IF(A84&gt;C$11,"",F$18)</f>
        <v/>
      </c>
      <c r="G84" s="309" t="str">
        <f t="shared" ref="G84:G101" si="13">IFERROR(G83+D84,"")</f>
        <v/>
      </c>
      <c r="J84" s="7">
        <v>67</v>
      </c>
    </row>
    <row r="85" spans="1:10">
      <c r="A85" s="307" t="str">
        <f t="shared" si="7"/>
        <v/>
      </c>
      <c r="B85" s="308" t="str">
        <f t="shared" si="8"/>
        <v/>
      </c>
      <c r="C85" s="309" t="str">
        <f t="shared" si="9"/>
        <v/>
      </c>
      <c r="D85" s="309" t="str">
        <f t="shared" si="10"/>
        <v/>
      </c>
      <c r="E85" s="309" t="str">
        <f t="shared" si="11"/>
        <v/>
      </c>
      <c r="F85" s="309" t="str">
        <f t="shared" si="12"/>
        <v/>
      </c>
      <c r="G85" s="309" t="str">
        <f t="shared" si="13"/>
        <v/>
      </c>
      <c r="J85" s="7">
        <v>68</v>
      </c>
    </row>
    <row r="86" spans="1:10">
      <c r="A86" s="307" t="str">
        <f t="shared" si="7"/>
        <v/>
      </c>
      <c r="B86" s="308" t="str">
        <f t="shared" si="8"/>
        <v/>
      </c>
      <c r="C86" s="309" t="str">
        <f t="shared" si="9"/>
        <v/>
      </c>
      <c r="D86" s="309" t="str">
        <f t="shared" si="10"/>
        <v/>
      </c>
      <c r="E86" s="309" t="str">
        <f t="shared" si="11"/>
        <v/>
      </c>
      <c r="F86" s="309" t="str">
        <f t="shared" si="12"/>
        <v/>
      </c>
      <c r="G86" s="309" t="str">
        <f t="shared" si="13"/>
        <v/>
      </c>
      <c r="J86" s="7">
        <v>69</v>
      </c>
    </row>
    <row r="87" spans="1:10">
      <c r="A87" s="307" t="str">
        <f t="shared" si="7"/>
        <v/>
      </c>
      <c r="B87" s="308" t="str">
        <f t="shared" si="8"/>
        <v/>
      </c>
      <c r="C87" s="309" t="str">
        <f t="shared" si="9"/>
        <v/>
      </c>
      <c r="D87" s="309" t="str">
        <f t="shared" si="10"/>
        <v/>
      </c>
      <c r="E87" s="309" t="str">
        <f t="shared" si="11"/>
        <v/>
      </c>
      <c r="F87" s="309" t="str">
        <f t="shared" si="12"/>
        <v/>
      </c>
      <c r="G87" s="309" t="str">
        <f t="shared" si="13"/>
        <v/>
      </c>
      <c r="J87" s="7">
        <v>70</v>
      </c>
    </row>
    <row r="88" spans="1:10">
      <c r="A88" s="307" t="str">
        <f t="shared" si="7"/>
        <v/>
      </c>
      <c r="B88" s="308" t="str">
        <f t="shared" si="8"/>
        <v/>
      </c>
      <c r="C88" s="309" t="str">
        <f t="shared" si="9"/>
        <v/>
      </c>
      <c r="D88" s="309" t="str">
        <f t="shared" si="10"/>
        <v/>
      </c>
      <c r="E88" s="309" t="str">
        <f t="shared" si="11"/>
        <v/>
      </c>
      <c r="F88" s="309" t="str">
        <f t="shared" si="12"/>
        <v/>
      </c>
      <c r="G88" s="309" t="str">
        <f t="shared" si="13"/>
        <v/>
      </c>
      <c r="J88" s="7">
        <v>71</v>
      </c>
    </row>
    <row r="89" spans="1:10">
      <c r="A89" s="307" t="str">
        <f t="shared" si="7"/>
        <v/>
      </c>
      <c r="B89" s="308" t="str">
        <f t="shared" si="8"/>
        <v/>
      </c>
      <c r="C89" s="309" t="str">
        <f t="shared" si="9"/>
        <v/>
      </c>
      <c r="D89" s="309" t="str">
        <f t="shared" si="10"/>
        <v/>
      </c>
      <c r="E89" s="309" t="str">
        <f t="shared" si="11"/>
        <v/>
      </c>
      <c r="F89" s="309" t="str">
        <f t="shared" si="12"/>
        <v/>
      </c>
      <c r="G89" s="309" t="str">
        <f t="shared" si="13"/>
        <v/>
      </c>
      <c r="J89" s="7">
        <v>72</v>
      </c>
    </row>
    <row r="90" spans="1:10">
      <c r="A90" s="307" t="str">
        <f t="shared" si="7"/>
        <v/>
      </c>
      <c r="B90" s="308" t="str">
        <f t="shared" si="8"/>
        <v/>
      </c>
      <c r="C90" s="309" t="str">
        <f t="shared" si="9"/>
        <v/>
      </c>
      <c r="D90" s="309" t="str">
        <f t="shared" si="10"/>
        <v/>
      </c>
      <c r="E90" s="309" t="str">
        <f t="shared" si="11"/>
        <v/>
      </c>
      <c r="F90" s="309" t="str">
        <f t="shared" si="12"/>
        <v/>
      </c>
      <c r="G90" s="309" t="str">
        <f t="shared" si="13"/>
        <v/>
      </c>
      <c r="J90" s="7">
        <v>73</v>
      </c>
    </row>
    <row r="91" spans="1:10">
      <c r="A91" s="307" t="str">
        <f t="shared" si="7"/>
        <v/>
      </c>
      <c r="B91" s="308" t="str">
        <f t="shared" si="8"/>
        <v/>
      </c>
      <c r="C91" s="309" t="str">
        <f t="shared" si="9"/>
        <v/>
      </c>
      <c r="D91" s="309" t="str">
        <f t="shared" si="10"/>
        <v/>
      </c>
      <c r="E91" s="309" t="str">
        <f t="shared" si="11"/>
        <v/>
      </c>
      <c r="F91" s="309" t="str">
        <f t="shared" si="12"/>
        <v/>
      </c>
      <c r="G91" s="309" t="str">
        <f t="shared" si="13"/>
        <v/>
      </c>
      <c r="J91" s="7">
        <v>74</v>
      </c>
    </row>
    <row r="92" spans="1:10">
      <c r="A92" s="307" t="str">
        <f t="shared" si="7"/>
        <v/>
      </c>
      <c r="B92" s="308" t="str">
        <f t="shared" si="8"/>
        <v/>
      </c>
      <c r="C92" s="309" t="str">
        <f t="shared" si="9"/>
        <v/>
      </c>
      <c r="D92" s="309" t="str">
        <f t="shared" si="10"/>
        <v/>
      </c>
      <c r="E92" s="309" t="str">
        <f t="shared" si="11"/>
        <v/>
      </c>
      <c r="F92" s="309" t="str">
        <f t="shared" si="12"/>
        <v/>
      </c>
      <c r="G92" s="309" t="str">
        <f t="shared" si="13"/>
        <v/>
      </c>
      <c r="J92" s="7">
        <v>75</v>
      </c>
    </row>
    <row r="93" spans="1:10">
      <c r="A93" s="307" t="str">
        <f t="shared" si="7"/>
        <v/>
      </c>
      <c r="B93" s="308" t="str">
        <f t="shared" si="8"/>
        <v/>
      </c>
      <c r="C93" s="309" t="str">
        <f t="shared" si="9"/>
        <v/>
      </c>
      <c r="D93" s="309" t="str">
        <f t="shared" si="10"/>
        <v/>
      </c>
      <c r="E93" s="309" t="str">
        <f t="shared" si="11"/>
        <v/>
      </c>
      <c r="F93" s="309" t="str">
        <f t="shared" si="12"/>
        <v/>
      </c>
      <c r="G93" s="309" t="str">
        <f t="shared" si="13"/>
        <v/>
      </c>
      <c r="J93" s="7">
        <v>76</v>
      </c>
    </row>
    <row r="94" spans="1:10">
      <c r="A94" s="307" t="str">
        <f t="shared" si="7"/>
        <v/>
      </c>
      <c r="B94" s="308" t="str">
        <f t="shared" si="8"/>
        <v/>
      </c>
      <c r="C94" s="309" t="str">
        <f t="shared" si="9"/>
        <v/>
      </c>
      <c r="D94" s="309" t="str">
        <f t="shared" si="10"/>
        <v/>
      </c>
      <c r="E94" s="309" t="str">
        <f t="shared" si="11"/>
        <v/>
      </c>
      <c r="F94" s="309" t="str">
        <f t="shared" si="12"/>
        <v/>
      </c>
      <c r="G94" s="309" t="str">
        <f t="shared" si="13"/>
        <v/>
      </c>
      <c r="J94" s="7">
        <v>77</v>
      </c>
    </row>
    <row r="95" spans="1:10">
      <c r="A95" s="307" t="str">
        <f t="shared" si="7"/>
        <v/>
      </c>
      <c r="B95" s="308" t="str">
        <f t="shared" si="8"/>
        <v/>
      </c>
      <c r="C95" s="309" t="str">
        <f t="shared" si="9"/>
        <v/>
      </c>
      <c r="D95" s="309" t="str">
        <f t="shared" si="10"/>
        <v/>
      </c>
      <c r="E95" s="309" t="str">
        <f t="shared" si="11"/>
        <v/>
      </c>
      <c r="F95" s="309" t="str">
        <f t="shared" si="12"/>
        <v/>
      </c>
      <c r="G95" s="309" t="str">
        <f t="shared" si="13"/>
        <v/>
      </c>
      <c r="J95" s="7">
        <v>78</v>
      </c>
    </row>
    <row r="96" spans="1:10">
      <c r="A96" s="307" t="str">
        <f t="shared" si="7"/>
        <v/>
      </c>
      <c r="B96" s="308" t="str">
        <f t="shared" si="8"/>
        <v/>
      </c>
      <c r="C96" s="309" t="str">
        <f t="shared" si="9"/>
        <v/>
      </c>
      <c r="D96" s="309" t="str">
        <f t="shared" si="10"/>
        <v/>
      </c>
      <c r="E96" s="309" t="str">
        <f t="shared" si="11"/>
        <v/>
      </c>
      <c r="F96" s="309" t="str">
        <f t="shared" si="12"/>
        <v/>
      </c>
      <c r="G96" s="309" t="str">
        <f t="shared" si="13"/>
        <v/>
      </c>
      <c r="J96" s="7">
        <v>79</v>
      </c>
    </row>
    <row r="97" spans="1:10">
      <c r="A97" s="307" t="str">
        <f t="shared" si="7"/>
        <v/>
      </c>
      <c r="B97" s="308" t="str">
        <f t="shared" si="8"/>
        <v/>
      </c>
      <c r="C97" s="309" t="str">
        <f t="shared" si="9"/>
        <v/>
      </c>
      <c r="D97" s="309" t="str">
        <f t="shared" si="10"/>
        <v/>
      </c>
      <c r="E97" s="309" t="str">
        <f t="shared" si="11"/>
        <v/>
      </c>
      <c r="F97" s="309" t="str">
        <f t="shared" si="12"/>
        <v/>
      </c>
      <c r="G97" s="309" t="str">
        <f t="shared" si="13"/>
        <v/>
      </c>
      <c r="J97" s="7">
        <v>80</v>
      </c>
    </row>
    <row r="98" spans="1:10">
      <c r="A98" s="307" t="str">
        <f t="shared" si="7"/>
        <v/>
      </c>
      <c r="B98" s="308" t="str">
        <f t="shared" si="8"/>
        <v/>
      </c>
      <c r="C98" s="309" t="str">
        <f t="shared" si="9"/>
        <v/>
      </c>
      <c r="D98" s="309" t="str">
        <f t="shared" si="10"/>
        <v/>
      </c>
      <c r="E98" s="309" t="str">
        <f t="shared" si="11"/>
        <v/>
      </c>
      <c r="F98" s="309" t="str">
        <f t="shared" si="12"/>
        <v/>
      </c>
      <c r="G98" s="309" t="str">
        <f t="shared" si="13"/>
        <v/>
      </c>
      <c r="J98" s="7">
        <v>81</v>
      </c>
    </row>
    <row r="99" spans="1:10">
      <c r="A99" s="307" t="str">
        <f t="shared" si="7"/>
        <v/>
      </c>
      <c r="B99" s="308" t="str">
        <f t="shared" si="8"/>
        <v/>
      </c>
      <c r="C99" s="309" t="str">
        <f t="shared" si="9"/>
        <v/>
      </c>
      <c r="D99" s="309" t="str">
        <f t="shared" si="10"/>
        <v/>
      </c>
      <c r="E99" s="309" t="str">
        <f t="shared" si="11"/>
        <v/>
      </c>
      <c r="F99" s="309" t="str">
        <f t="shared" si="12"/>
        <v/>
      </c>
      <c r="G99" s="309" t="str">
        <f t="shared" si="13"/>
        <v/>
      </c>
      <c r="J99" s="7">
        <v>82</v>
      </c>
    </row>
    <row r="100" spans="1:10">
      <c r="A100" s="307" t="str">
        <f t="shared" si="7"/>
        <v/>
      </c>
      <c r="B100" s="308" t="str">
        <f t="shared" si="8"/>
        <v/>
      </c>
      <c r="C100" s="309" t="str">
        <f t="shared" si="9"/>
        <v/>
      </c>
      <c r="D100" s="309" t="str">
        <f t="shared" si="10"/>
        <v/>
      </c>
      <c r="E100" s="309" t="str">
        <f t="shared" si="11"/>
        <v/>
      </c>
      <c r="F100" s="309" t="str">
        <f t="shared" si="12"/>
        <v/>
      </c>
      <c r="G100" s="309" t="str">
        <f t="shared" si="13"/>
        <v/>
      </c>
      <c r="J100" s="7">
        <v>83</v>
      </c>
    </row>
    <row r="101" spans="1:10">
      <c r="A101" s="307" t="str">
        <f t="shared" si="7"/>
        <v/>
      </c>
      <c r="B101" s="308" t="str">
        <f t="shared" si="8"/>
        <v/>
      </c>
      <c r="C101" s="309" t="str">
        <f t="shared" si="9"/>
        <v/>
      </c>
      <c r="D101" s="309" t="str">
        <f t="shared" si="10"/>
        <v/>
      </c>
      <c r="E101" s="309" t="str">
        <f t="shared" si="11"/>
        <v/>
      </c>
      <c r="F101" s="309" t="str">
        <f t="shared" si="12"/>
        <v/>
      </c>
      <c r="G101" s="309" t="str">
        <f t="shared" si="13"/>
        <v/>
      </c>
      <c r="J101" s="7">
        <v>84</v>
      </c>
    </row>
  </sheetData>
  <sheetProtection password="CF95" sheet="1" objects="1" scenarios="1"/>
  <mergeCells count="4">
    <mergeCell ref="D16:D17"/>
    <mergeCell ref="E16:E17"/>
    <mergeCell ref="F16:F17"/>
    <mergeCell ref="D2:G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theme="6" tint="0.79998168889431442"/>
  </sheetPr>
  <dimension ref="A1:X307"/>
  <sheetViews>
    <sheetView zoomScale="110" zoomScaleNormal="110" workbookViewId="0">
      <selection activeCell="L33" sqref="L33"/>
    </sheetView>
  </sheetViews>
  <sheetFormatPr baseColWidth="10" defaultRowHeight="15"/>
  <cols>
    <col min="2" max="2" width="8.140625" customWidth="1"/>
    <col min="7" max="7" width="11.85546875" customWidth="1"/>
    <col min="8" max="8" width="14.7109375" customWidth="1"/>
  </cols>
  <sheetData>
    <row r="1" spans="1:17">
      <c r="A1" s="209" t="s">
        <v>20</v>
      </c>
      <c r="B1" s="172"/>
      <c r="C1" s="172"/>
      <c r="D1" s="19"/>
      <c r="E1" s="19"/>
      <c r="F1" s="19"/>
      <c r="G1" s="19"/>
      <c r="H1" s="28"/>
      <c r="I1" s="28"/>
      <c r="J1" s="28"/>
      <c r="K1" s="28"/>
      <c r="L1" s="28"/>
      <c r="M1" s="28"/>
      <c r="N1" s="28"/>
      <c r="O1" s="28"/>
      <c r="P1" s="28"/>
      <c r="Q1" s="17"/>
    </row>
    <row r="2" spans="1:17">
      <c r="A2" s="19" t="s">
        <v>140</v>
      </c>
      <c r="B2" s="19"/>
      <c r="C2" s="19"/>
      <c r="D2" s="19"/>
      <c r="E2" s="19"/>
      <c r="F2" s="19"/>
      <c r="G2" s="19"/>
      <c r="H2" s="28"/>
      <c r="I2" s="28"/>
      <c r="J2" s="28"/>
      <c r="K2" s="28"/>
      <c r="L2" s="28"/>
      <c r="M2" s="28"/>
      <c r="N2" s="28"/>
      <c r="O2" s="28"/>
      <c r="P2" s="28"/>
      <c r="Q2" s="17"/>
    </row>
    <row r="3" spans="1:17">
      <c r="A3" s="400" t="s">
        <v>21</v>
      </c>
      <c r="B3" s="815" t="s">
        <v>22</v>
      </c>
      <c r="C3" s="815"/>
      <c r="D3" s="19"/>
      <c r="E3" s="19"/>
      <c r="F3" s="19"/>
      <c r="G3" s="19"/>
      <c r="H3" s="28"/>
      <c r="I3" s="28"/>
      <c r="J3" s="28"/>
      <c r="K3" s="28"/>
      <c r="L3" s="28"/>
      <c r="M3" s="28"/>
      <c r="N3" s="28"/>
      <c r="O3" s="28"/>
      <c r="P3" s="28"/>
      <c r="Q3" s="17"/>
    </row>
    <row r="4" spans="1:17">
      <c r="A4" s="141">
        <f>+AFin!B24</f>
        <v>0</v>
      </c>
      <c r="B4" s="801">
        <f>IF(ISBLANK(AFin!C24),AFin!F24+AFin!G24+AFin!H24,AFin!C24)</f>
        <v>0</v>
      </c>
      <c r="C4" s="802"/>
      <c r="D4" s="19"/>
      <c r="E4" s="19"/>
      <c r="F4" s="19"/>
      <c r="G4" s="19"/>
      <c r="H4" s="28"/>
      <c r="I4" s="28"/>
      <c r="J4" s="28"/>
      <c r="K4" s="28"/>
      <c r="L4" s="28"/>
      <c r="M4" s="28"/>
      <c r="N4" s="28"/>
      <c r="O4" s="28"/>
      <c r="P4" s="28"/>
      <c r="Q4" s="17"/>
    </row>
    <row r="5" spans="1:17">
      <c r="A5" s="141">
        <f>AFin!B23</f>
        <v>0</v>
      </c>
      <c r="B5" s="801">
        <f>IF(ISBLANK(AFin!C23),AFin!F23+AFin!G23+AFin!H23,AFin!C23)</f>
        <v>0</v>
      </c>
      <c r="C5" s="802"/>
      <c r="D5" s="19"/>
      <c r="E5" s="19"/>
      <c r="F5" s="19"/>
      <c r="G5" s="19"/>
      <c r="H5" s="28"/>
      <c r="I5" s="28"/>
      <c r="J5" s="28"/>
      <c r="K5" s="28"/>
      <c r="L5" s="28"/>
      <c r="M5" s="28"/>
      <c r="N5" s="28"/>
      <c r="O5" s="28"/>
      <c r="P5" s="28"/>
      <c r="Q5" s="17"/>
    </row>
    <row r="6" spans="1:17">
      <c r="A6" s="141">
        <f>+AFin!B22</f>
        <v>0</v>
      </c>
      <c r="B6" s="801">
        <f>IF(ISBLANK(AFin!C22),AFin!F22+AFin!G22+AFin!H22,AFin!C22)</f>
        <v>0</v>
      </c>
      <c r="C6" s="802"/>
      <c r="D6" s="19"/>
      <c r="E6" s="19"/>
      <c r="F6" s="19"/>
      <c r="G6" s="19"/>
      <c r="H6" s="19"/>
      <c r="I6" s="19"/>
      <c r="J6" s="19"/>
      <c r="K6" s="19"/>
      <c r="L6" s="19"/>
      <c r="M6" s="19"/>
      <c r="N6" s="19"/>
      <c r="O6" s="19"/>
      <c r="P6" s="19"/>
      <c r="Q6" s="19"/>
    </row>
    <row r="7" spans="1:17">
      <c r="A7" s="17"/>
      <c r="B7" s="27"/>
      <c r="C7" s="27"/>
      <c r="D7" s="19"/>
      <c r="E7" s="19"/>
      <c r="F7" s="19"/>
      <c r="G7" s="19"/>
      <c r="H7" s="19"/>
      <c r="I7" s="19"/>
      <c r="J7" s="19"/>
      <c r="K7" s="19"/>
      <c r="L7" s="19"/>
      <c r="M7" s="19"/>
      <c r="N7" s="19"/>
      <c r="O7" s="19"/>
      <c r="P7" s="19"/>
      <c r="Q7" s="19"/>
    </row>
    <row r="8" spans="1:17">
      <c r="A8" s="482" t="s">
        <v>23</v>
      </c>
      <c r="B8" s="482"/>
      <c r="C8" s="519" t="e">
        <f>VLOOKUP(TRUE,$A13:$C20,2,FALSE)</f>
        <v>#N/A</v>
      </c>
      <c r="D8" s="28"/>
      <c r="E8" s="19"/>
      <c r="F8" s="19"/>
      <c r="G8" s="19"/>
      <c r="H8" s="19"/>
      <c r="I8" s="19"/>
      <c r="J8" s="19"/>
      <c r="K8" s="19"/>
      <c r="L8" s="19"/>
      <c r="M8" s="19"/>
      <c r="N8" s="19"/>
      <c r="O8" s="19"/>
      <c r="P8" s="19"/>
      <c r="Q8" s="19"/>
    </row>
    <row r="9" spans="1:17" ht="15" customHeight="1">
      <c r="A9" s="1109" t="e">
        <f>VLOOKUP(TRUE,$A13:$C20,3,FALSE)</f>
        <v>#N/A</v>
      </c>
      <c r="B9" s="1110"/>
      <c r="C9" s="1110"/>
      <c r="D9" s="1110"/>
      <c r="E9" s="1110"/>
      <c r="F9" s="1110"/>
      <c r="G9" s="1110"/>
      <c r="H9" s="1110"/>
      <c r="I9" s="19"/>
      <c r="J9" s="19"/>
      <c r="K9" s="19"/>
      <c r="L9" s="19"/>
      <c r="M9" s="19"/>
      <c r="N9" s="19"/>
      <c r="O9" s="19"/>
      <c r="P9" s="19"/>
      <c r="Q9" s="19"/>
    </row>
    <row r="10" spans="1:17">
      <c r="A10" s="1109"/>
      <c r="B10" s="1110"/>
      <c r="C10" s="1110"/>
      <c r="D10" s="1110"/>
      <c r="E10" s="1110"/>
      <c r="F10" s="1110"/>
      <c r="G10" s="1110"/>
      <c r="H10" s="1110"/>
      <c r="I10" s="19"/>
      <c r="J10" s="19"/>
      <c r="K10" s="19"/>
      <c r="L10" s="19"/>
      <c r="M10" s="19"/>
      <c r="N10" s="19"/>
      <c r="O10" s="19"/>
      <c r="P10" s="19"/>
      <c r="Q10" s="19"/>
    </row>
    <row r="11" spans="1:17">
      <c r="A11" s="1111" t="e">
        <f>VLOOKUP(TRUE,$A21:$C24,3,FALSE)</f>
        <v>#N/A</v>
      </c>
      <c r="B11" s="1112"/>
      <c r="C11" s="1112"/>
      <c r="D11" s="1112"/>
      <c r="E11" s="1112"/>
      <c r="F11" s="1112"/>
      <c r="G11" s="1112"/>
      <c r="H11" s="1112"/>
      <c r="I11" s="19"/>
      <c r="J11" s="19"/>
      <c r="K11" s="19"/>
      <c r="L11" s="19"/>
      <c r="M11" s="19"/>
      <c r="N11" s="19"/>
      <c r="O11" s="19"/>
      <c r="P11" s="19"/>
      <c r="Q11" s="19"/>
    </row>
    <row r="12" spans="1:17">
      <c r="A12" s="1111" t="e">
        <f>VLOOKUP(TRUE,$A25:$C29,3,FALSE)</f>
        <v>#N/A</v>
      </c>
      <c r="B12" s="1112"/>
      <c r="C12" s="1112"/>
      <c r="D12" s="1112"/>
      <c r="E12" s="1112"/>
      <c r="F12" s="1112"/>
      <c r="G12" s="1112"/>
      <c r="H12" s="1112"/>
      <c r="I12" s="19"/>
      <c r="J12" s="19"/>
      <c r="K12" s="19"/>
      <c r="L12" s="19"/>
      <c r="M12" s="19"/>
      <c r="N12" s="19"/>
      <c r="O12" s="19"/>
      <c r="P12" s="19"/>
      <c r="Q12" s="19"/>
    </row>
    <row r="13" spans="1:17">
      <c r="A13" s="484" t="b">
        <f>IF(AND(B4&lt;B5,B5&lt;B6),TRUE,FALSE)</f>
        <v>0</v>
      </c>
      <c r="B13" s="19">
        <v>1</v>
      </c>
      <c r="C13" s="892" t="e">
        <f>"Croissance continue du chiffre d'affaires sur les 3 dernières années : +"&amp;ROUND((B6-B4)/B4*100,2)&amp;"% en 3 ans, soit un taux de croissance annuel de +"&amp;ROUND(((B6-B4)/B4*100)/3,2)&amp;"%."</f>
        <v>#DIV/0!</v>
      </c>
      <c r="D13" s="892"/>
      <c r="E13" s="892"/>
      <c r="F13" s="892"/>
      <c r="G13" s="892"/>
      <c r="H13" s="19"/>
      <c r="I13" s="19"/>
      <c r="J13" s="19"/>
      <c r="K13" s="19"/>
      <c r="L13" s="19"/>
      <c r="M13" s="19"/>
      <c r="N13" s="19"/>
      <c r="O13" s="19"/>
      <c r="P13" s="19"/>
      <c r="Q13" s="19"/>
    </row>
    <row r="14" spans="1:17">
      <c r="A14" s="17"/>
      <c r="B14" s="27"/>
      <c r="C14" s="892"/>
      <c r="D14" s="892"/>
      <c r="E14" s="892"/>
      <c r="F14" s="892"/>
      <c r="G14" s="892"/>
      <c r="H14" s="19"/>
      <c r="I14" s="19"/>
      <c r="J14" s="19"/>
      <c r="K14" s="19"/>
      <c r="L14" s="19"/>
      <c r="M14" s="19"/>
      <c r="N14" s="19"/>
      <c r="O14" s="19"/>
      <c r="P14" s="19"/>
      <c r="Q14" s="19"/>
    </row>
    <row r="15" spans="1:17">
      <c r="A15" s="484" t="b">
        <f>IF(AND(B4&gt;B5,B5&gt;B6),TRUE,FALSE)</f>
        <v>0</v>
      </c>
      <c r="B15" s="19">
        <v>-1</v>
      </c>
      <c r="C15" s="892" t="e">
        <f>"Baisse continue du chiffre d'affaires sur les 3 dernières années : "&amp;ROUND((B6-B4)/B4*100,2)&amp;"% en 3 ans, soit un taux de croissance annuel de "&amp;ROUND(((B6-B4)/B4*100)/3,2)&amp;"%."</f>
        <v>#DIV/0!</v>
      </c>
      <c r="D15" s="892"/>
      <c r="E15" s="892"/>
      <c r="F15" s="892"/>
      <c r="G15" s="892"/>
      <c r="H15" s="19"/>
      <c r="I15" s="19"/>
      <c r="J15" s="19"/>
      <c r="K15" s="19"/>
      <c r="L15" s="19"/>
      <c r="M15" s="19"/>
      <c r="N15" s="19"/>
      <c r="O15" s="19"/>
      <c r="P15" s="19"/>
      <c r="Q15" s="19"/>
    </row>
    <row r="16" spans="1:17">
      <c r="A16" s="17"/>
      <c r="B16" s="27"/>
      <c r="C16" s="892"/>
      <c r="D16" s="892"/>
      <c r="E16" s="892"/>
      <c r="F16" s="892"/>
      <c r="G16" s="892"/>
      <c r="H16" s="19"/>
      <c r="I16" s="19"/>
      <c r="J16" s="19"/>
      <c r="K16" s="19"/>
      <c r="L16" s="19"/>
      <c r="M16" s="19"/>
      <c r="N16" s="19"/>
      <c r="O16" s="19"/>
      <c r="P16" s="19"/>
      <c r="Q16" s="19"/>
    </row>
    <row r="17" spans="1:17">
      <c r="A17" s="484" t="b">
        <f>IF(AND(B4&lt;B6,A13=FALSE,A15=FALSE),TRUE,FALSE)</f>
        <v>0</v>
      </c>
      <c r="B17" s="19">
        <v>0</v>
      </c>
      <c r="C17" s="892" t="e">
        <f>"Sur les 3 dernières années, tendance à la hausse du chiffre d'affaires, avec un taux de croissance annuel de +"&amp;ROUND(((B6-B4)/B4*100)/3,2)&amp;"%."</f>
        <v>#DIV/0!</v>
      </c>
      <c r="D17" s="892"/>
      <c r="E17" s="892"/>
      <c r="F17" s="892"/>
      <c r="G17" s="892"/>
      <c r="H17" s="19"/>
      <c r="I17" s="19"/>
      <c r="J17" s="19"/>
      <c r="K17" s="19"/>
      <c r="L17" s="19"/>
      <c r="M17" s="19"/>
      <c r="N17" s="19"/>
      <c r="O17" s="19"/>
      <c r="P17" s="19"/>
      <c r="Q17" s="19"/>
    </row>
    <row r="18" spans="1:17">
      <c r="C18" s="892"/>
      <c r="D18" s="892"/>
      <c r="E18" s="892"/>
      <c r="F18" s="892"/>
      <c r="G18" s="892"/>
      <c r="H18" s="19"/>
      <c r="I18" s="19"/>
      <c r="J18" s="19"/>
      <c r="K18" s="19"/>
      <c r="L18" s="19"/>
      <c r="M18" s="19"/>
      <c r="N18" s="19"/>
      <c r="O18" s="19"/>
      <c r="P18" s="19"/>
      <c r="Q18" s="19"/>
    </row>
    <row r="19" spans="1:17">
      <c r="A19" s="484" t="b">
        <f>IF(AND(B4&gt;B6,A15=FALSE,A13=FALSE),TRUE,FALSE)</f>
        <v>0</v>
      </c>
      <c r="B19" s="19">
        <v>0</v>
      </c>
      <c r="C19" s="892" t="e">
        <f>"Sur les 3 dernières années, tendance à la baisse du chiffre d'affaires, avec un taux de croissance annuel de "&amp;ROUND(((B6-B4)/B4*100)/3,2)&amp;"%."</f>
        <v>#DIV/0!</v>
      </c>
      <c r="D19" s="892"/>
      <c r="E19" s="892"/>
      <c r="F19" s="892"/>
      <c r="G19" s="892"/>
      <c r="H19" s="19"/>
      <c r="I19" s="19"/>
      <c r="J19" s="19"/>
      <c r="K19" s="19"/>
      <c r="L19" s="19"/>
      <c r="M19" s="19"/>
      <c r="N19" s="19"/>
      <c r="O19" s="19"/>
      <c r="P19" s="19"/>
      <c r="Q19" s="19"/>
    </row>
    <row r="20" spans="1:17">
      <c r="C20" s="892"/>
      <c r="D20" s="892"/>
      <c r="E20" s="892"/>
      <c r="F20" s="892"/>
      <c r="G20" s="892"/>
      <c r="H20" s="19"/>
      <c r="I20" s="19"/>
      <c r="J20" s="19"/>
      <c r="K20" s="19"/>
      <c r="L20" s="19"/>
      <c r="M20" s="19"/>
      <c r="N20" s="19"/>
      <c r="O20" s="19"/>
      <c r="P20" s="19"/>
      <c r="Q20" s="19"/>
    </row>
    <row r="21" spans="1:17">
      <c r="A21" s="485" t="b">
        <f>IF(AND(A19=TRUE,B4&lt;B5),TRUE,FALSE)</f>
        <v>0</v>
      </c>
      <c r="B21" s="19"/>
      <c r="C21" s="19" t="e">
        <f>"On note tout de même une amélioration entre "&amp;A4&amp;" et "&amp;A5&amp;" : +"&amp;ROUND(((B5-B4)/B4*100),2)&amp;" %."</f>
        <v>#DIV/0!</v>
      </c>
      <c r="D21" s="19"/>
      <c r="E21" s="19"/>
      <c r="F21" s="19"/>
      <c r="G21" s="19"/>
      <c r="H21" s="19"/>
      <c r="I21" s="19"/>
      <c r="J21" s="19"/>
      <c r="K21" s="19"/>
      <c r="L21" s="19"/>
      <c r="M21" s="19"/>
      <c r="N21" s="19"/>
      <c r="O21" s="19"/>
      <c r="P21" s="19"/>
      <c r="Q21" s="19"/>
    </row>
    <row r="22" spans="1:17">
      <c r="A22" s="485" t="b">
        <f>IF(AND(A17=TRUE,B4&gt;B5),TRUE,FALSE)</f>
        <v>0</v>
      </c>
      <c r="B22" s="19"/>
      <c r="C22" s="19" t="e">
        <f>"On note cependant une dégradation entre "&amp;A4&amp;" et "&amp;A5&amp;" : "&amp;ROUND(((B5-B4)/B4*100),2)&amp;" %."</f>
        <v>#DIV/0!</v>
      </c>
      <c r="D22" s="19"/>
      <c r="E22" s="19"/>
      <c r="F22" s="19"/>
      <c r="G22" s="19"/>
      <c r="H22" s="19"/>
      <c r="I22" s="19"/>
      <c r="J22" s="19"/>
      <c r="K22" s="19"/>
      <c r="L22" s="19"/>
      <c r="M22" s="19"/>
      <c r="N22" s="19"/>
      <c r="O22" s="19"/>
      <c r="P22" s="19"/>
      <c r="Q22" s="19"/>
    </row>
    <row r="23" spans="1:17">
      <c r="A23" s="485" t="b">
        <f>IF(AND(A19=TRUE,B5&lt;B6),TRUE,FALSE)</f>
        <v>0</v>
      </c>
      <c r="B23" s="19"/>
      <c r="C23" s="19" t="e">
        <f>"On note tout de même une amélioration entre "&amp;A5&amp;" et "&amp;A6&amp;" : +"&amp;ROUND(((B6-B5)/B5*100),2)&amp;" %."</f>
        <v>#DIV/0!</v>
      </c>
      <c r="D23" s="19"/>
      <c r="E23" s="19"/>
      <c r="F23" s="19"/>
      <c r="G23" s="19"/>
      <c r="H23" s="19"/>
      <c r="I23" s="19"/>
      <c r="J23" s="19"/>
      <c r="K23" s="19"/>
      <c r="L23" s="19"/>
      <c r="M23" s="19"/>
      <c r="N23" s="19"/>
      <c r="O23" s="19"/>
      <c r="P23" s="19"/>
      <c r="Q23" s="19"/>
    </row>
    <row r="24" spans="1:17">
      <c r="A24" s="485" t="b">
        <f>IF(AND(A17=TRUE,B5&gt;B6),TRUE,FALSE)</f>
        <v>0</v>
      </c>
      <c r="B24" s="19"/>
      <c r="C24" s="19" t="e">
        <f>"On note cependant une dégradation entre "&amp;A5&amp;" et "&amp;A6&amp;" : "&amp;ROUND(((B6-B5)/B5*100),2)&amp;" %."</f>
        <v>#DIV/0!</v>
      </c>
      <c r="D24" s="19"/>
      <c r="E24" s="19"/>
      <c r="F24" s="19"/>
      <c r="G24" s="19"/>
      <c r="H24" s="19"/>
      <c r="I24" s="19"/>
      <c r="J24" s="19"/>
      <c r="K24" s="19"/>
      <c r="L24" s="19"/>
      <c r="M24" s="19"/>
      <c r="N24" s="19"/>
      <c r="O24" s="19"/>
      <c r="P24" s="19"/>
      <c r="Q24" s="19"/>
    </row>
    <row r="25" spans="1:17">
      <c r="A25" s="18" t="e">
        <f>IF(AND((B6-B4)/B4&gt;0.05,A13=TRUE),TRUE,FALSE)</f>
        <v>#DIV/0!</v>
      </c>
      <c r="B25" s="19"/>
      <c r="C25" s="19" t="s">
        <v>27</v>
      </c>
      <c r="D25" s="19"/>
      <c r="E25" s="19"/>
      <c r="F25" s="19"/>
      <c r="G25" s="19"/>
      <c r="H25" s="19"/>
      <c r="I25" s="19"/>
      <c r="J25" s="19"/>
      <c r="K25" s="19"/>
      <c r="L25" s="19"/>
      <c r="M25" s="19"/>
      <c r="N25" s="19"/>
      <c r="O25" s="19"/>
      <c r="P25" s="19"/>
      <c r="Q25" s="19"/>
    </row>
    <row r="26" spans="1:17">
      <c r="A26" s="18" t="e">
        <f>IF(AND(0.05&gt;(B6-B4)/B4&gt;0.025,A13=TRUE),TRUE,FALSE)</f>
        <v>#DIV/0!</v>
      </c>
      <c r="B26" s="19"/>
      <c r="C26" s="19" t="s">
        <v>29</v>
      </c>
      <c r="D26" s="19"/>
      <c r="E26" s="19"/>
      <c r="F26" s="19"/>
      <c r="G26" s="19"/>
      <c r="H26" s="19"/>
      <c r="I26" s="19"/>
      <c r="J26" s="19"/>
      <c r="K26" s="19"/>
      <c r="L26" s="19"/>
      <c r="M26" s="19"/>
      <c r="N26" s="19"/>
      <c r="O26" s="19"/>
      <c r="P26" s="19"/>
      <c r="Q26" s="19"/>
    </row>
    <row r="27" spans="1:17">
      <c r="A27" s="18" t="e">
        <f>IF(AND(A17=TRUE,(B6-B4)/B4&gt;0.025),TRUE,FALSE)</f>
        <v>#DIV/0!</v>
      </c>
      <c r="B27" s="19"/>
      <c r="C27" s="19" t="s">
        <v>28</v>
      </c>
      <c r="D27" s="19"/>
      <c r="E27" s="19"/>
      <c r="F27" s="19"/>
      <c r="G27" s="19"/>
      <c r="H27" s="19"/>
      <c r="I27" s="19"/>
      <c r="J27" s="19"/>
      <c r="K27" s="19"/>
      <c r="L27" s="19"/>
      <c r="M27" s="19"/>
      <c r="N27" s="19"/>
      <c r="O27" s="19"/>
      <c r="P27" s="19"/>
      <c r="Q27" s="19"/>
    </row>
    <row r="28" spans="1:17">
      <c r="A28" s="18" t="e">
        <f>IF(AND(OR(A15=TRUE,A19=TRUE),(B6-B4)/B4&gt;-0.025),TRUE,FALSE)</f>
        <v>#DIV/0!</v>
      </c>
      <c r="B28" s="19"/>
      <c r="C28" s="19" t="s">
        <v>30</v>
      </c>
      <c r="D28" s="19"/>
      <c r="E28" s="19"/>
      <c r="F28" s="19"/>
      <c r="G28" s="19"/>
      <c r="H28" s="19"/>
      <c r="I28" s="19"/>
      <c r="J28" s="19"/>
      <c r="K28" s="19"/>
      <c r="L28" s="19"/>
      <c r="M28" s="19"/>
      <c r="N28" s="19"/>
      <c r="O28" s="19"/>
      <c r="P28" s="19"/>
      <c r="Q28" s="19"/>
    </row>
    <row r="29" spans="1:17">
      <c r="A29" s="18" t="e">
        <f>IF(AND(OR(A15=TRUE,A19=TRUE),(B6-B4)/B4&lt;-0.025),TRUE,FALSE)</f>
        <v>#DIV/0!</v>
      </c>
      <c r="B29" s="19"/>
      <c r="C29" s="19" t="s">
        <v>163</v>
      </c>
      <c r="D29" s="19"/>
      <c r="E29" s="19"/>
      <c r="F29" s="19"/>
      <c r="G29" s="19"/>
      <c r="H29" s="19"/>
      <c r="I29" s="19"/>
      <c r="J29" s="19"/>
      <c r="K29" s="19"/>
      <c r="L29" s="19"/>
      <c r="M29" s="19"/>
      <c r="N29" s="19"/>
      <c r="O29" s="19"/>
      <c r="P29" s="19"/>
      <c r="Q29" s="19"/>
    </row>
    <row r="30" spans="1:17">
      <c r="A30" s="18"/>
      <c r="B30" s="19"/>
      <c r="C30" s="19"/>
      <c r="D30" s="19"/>
      <c r="E30" s="19"/>
      <c r="F30" s="19"/>
      <c r="G30" s="19"/>
      <c r="H30" s="19"/>
      <c r="I30" s="19"/>
      <c r="J30" s="19"/>
      <c r="K30" s="19"/>
      <c r="L30" s="19"/>
      <c r="M30" s="19"/>
      <c r="N30" s="19"/>
      <c r="O30" s="19"/>
      <c r="P30" s="19"/>
      <c r="Q30" s="19"/>
    </row>
    <row r="31" spans="1:17">
      <c r="A31" s="209" t="s">
        <v>24</v>
      </c>
      <c r="B31" s="209"/>
      <c r="C31" s="209"/>
      <c r="D31" s="19"/>
      <c r="E31" s="19" t="s">
        <v>140</v>
      </c>
      <c r="F31" s="19"/>
      <c r="J31" s="19"/>
      <c r="K31" s="19"/>
      <c r="L31" s="19"/>
      <c r="M31" s="19"/>
      <c r="N31" s="19"/>
      <c r="O31" s="19"/>
      <c r="P31" s="19"/>
      <c r="Q31" s="19"/>
    </row>
    <row r="32" spans="1:17">
      <c r="A32" s="19"/>
      <c r="B32" s="19"/>
      <c r="C32" s="19"/>
      <c r="D32" s="19"/>
      <c r="E32" s="20" t="s">
        <v>32</v>
      </c>
      <c r="F32" s="21"/>
      <c r="G32" s="141">
        <f>B6</f>
        <v>0</v>
      </c>
      <c r="H32" s="141">
        <v>0</v>
      </c>
      <c r="J32" s="19"/>
      <c r="K32" s="19"/>
      <c r="L32" s="19"/>
      <c r="M32" s="19"/>
      <c r="N32" s="19"/>
      <c r="O32" s="19"/>
      <c r="P32" s="19"/>
      <c r="Q32" s="19"/>
    </row>
    <row r="33" spans="1:17">
      <c r="A33" s="19" t="s">
        <v>25</v>
      </c>
      <c r="B33" s="19"/>
      <c r="C33" s="19">
        <f>IF(ISBLANK(AFin!C30),B6-AFin!F30-AFin!G30-AFin!F28-AFin!G28,AFin!C30)</f>
        <v>0</v>
      </c>
      <c r="D33" s="19"/>
      <c r="E33" s="20" t="s">
        <v>31</v>
      </c>
      <c r="F33" s="21"/>
      <c r="G33" s="141">
        <v>0</v>
      </c>
      <c r="H33" s="141">
        <f>C33</f>
        <v>0</v>
      </c>
      <c r="J33" s="19"/>
      <c r="K33" s="19"/>
      <c r="L33" s="19"/>
      <c r="M33" s="19"/>
      <c r="N33" s="19"/>
      <c r="O33" s="19"/>
      <c r="P33" s="19"/>
      <c r="Q33" s="19"/>
    </row>
    <row r="34" spans="1:17">
      <c r="A34" s="19" t="s">
        <v>26</v>
      </c>
      <c r="B34" s="19"/>
      <c r="C34" s="518">
        <f>IFERROR(C33/B6,0)</f>
        <v>0</v>
      </c>
      <c r="D34" s="19"/>
      <c r="E34" s="20" t="s">
        <v>33</v>
      </c>
      <c r="F34" s="21"/>
      <c r="G34" s="141">
        <v>0</v>
      </c>
      <c r="H34" s="141">
        <f>G32-H33</f>
        <v>0</v>
      </c>
      <c r="J34" s="19"/>
      <c r="K34" s="19"/>
      <c r="L34" s="19"/>
      <c r="M34" s="19"/>
      <c r="N34" s="19"/>
      <c r="O34" s="19"/>
      <c r="P34" s="19"/>
      <c r="Q34" s="19"/>
    </row>
    <row r="35" spans="1:17" ht="15.75" thickBot="1">
      <c r="A35" s="19"/>
      <c r="B35" s="19"/>
      <c r="C35" s="19"/>
      <c r="D35" s="19"/>
      <c r="E35" s="19"/>
      <c r="F35" s="19"/>
      <c r="G35" s="19"/>
      <c r="J35" s="19"/>
      <c r="K35" s="19"/>
      <c r="L35" s="19"/>
      <c r="M35" s="19"/>
      <c r="N35" s="19"/>
      <c r="O35" s="19"/>
      <c r="P35" s="19"/>
      <c r="Q35" s="19"/>
    </row>
    <row r="36" spans="1:17" ht="15.75" thickBot="1">
      <c r="A36" s="496" t="str">
        <f>"La marge brute représente "&amp;ROUND(C34*100,2)&amp;"% du prix de vente du produit ou du service."</f>
        <v>La marge brute représente 0% du prix de vente du produit ou du service.</v>
      </c>
      <c r="B36" s="497"/>
      <c r="C36" s="497"/>
      <c r="D36" s="497"/>
      <c r="E36" s="497"/>
      <c r="F36" s="498"/>
      <c r="G36" s="19"/>
      <c r="H36" s="19"/>
      <c r="I36" s="19"/>
      <c r="J36" s="19"/>
      <c r="K36" s="19"/>
      <c r="L36" s="19"/>
      <c r="M36" s="19"/>
      <c r="N36" s="19"/>
      <c r="O36" s="19"/>
      <c r="P36" s="19"/>
      <c r="Q36" s="19"/>
    </row>
    <row r="37" spans="1:17">
      <c r="A37" s="19"/>
      <c r="B37" s="19"/>
      <c r="C37" s="19"/>
      <c r="D37" s="19"/>
      <c r="E37" s="19"/>
      <c r="F37" s="19"/>
      <c r="G37" s="19"/>
      <c r="H37" s="19"/>
      <c r="I37" s="19"/>
      <c r="J37" s="19"/>
      <c r="K37" s="19"/>
      <c r="L37" s="19"/>
      <c r="M37" s="19"/>
      <c r="N37" s="19"/>
      <c r="O37" s="19"/>
      <c r="P37" s="19"/>
      <c r="Q37" s="19"/>
    </row>
    <row r="38" spans="1:17">
      <c r="A38" s="209" t="s">
        <v>37</v>
      </c>
      <c r="B38" s="172"/>
      <c r="C38" s="19"/>
      <c r="D38" s="19"/>
      <c r="E38" s="19"/>
      <c r="F38" s="19"/>
      <c r="G38" s="19"/>
      <c r="H38" s="19"/>
      <c r="I38" s="19"/>
      <c r="J38" s="19"/>
      <c r="K38" s="19"/>
      <c r="L38" s="19"/>
      <c r="M38" s="19"/>
      <c r="N38" s="19"/>
      <c r="O38" s="19"/>
      <c r="P38" s="19"/>
      <c r="Q38" s="19"/>
    </row>
    <row r="39" spans="1:17">
      <c r="A39" s="29" t="s">
        <v>140</v>
      </c>
      <c r="B39" s="29"/>
      <c r="C39" s="19"/>
      <c r="D39" s="19"/>
      <c r="E39" s="19"/>
      <c r="F39" s="19"/>
      <c r="G39" s="19"/>
      <c r="H39" s="19"/>
      <c r="I39" s="19"/>
      <c r="J39" s="19"/>
      <c r="K39" s="19"/>
      <c r="L39" s="19"/>
      <c r="M39" s="19"/>
      <c r="N39" s="19"/>
      <c r="O39" s="19"/>
      <c r="P39" s="19"/>
      <c r="Q39" s="19"/>
    </row>
    <row r="40" spans="1:17">
      <c r="A40" s="141" t="s">
        <v>21</v>
      </c>
      <c r="B40" s="815" t="s">
        <v>42</v>
      </c>
      <c r="C40" s="815"/>
      <c r="D40" s="19"/>
      <c r="E40" s="12"/>
      <c r="F40" s="12"/>
      <c r="G40" s="12"/>
      <c r="H40" s="28"/>
      <c r="I40" s="28"/>
      <c r="J40" s="28"/>
      <c r="K40" s="28"/>
      <c r="L40" s="28"/>
      <c r="M40" s="28"/>
      <c r="N40" s="28"/>
      <c r="O40" s="28"/>
      <c r="P40" s="28"/>
      <c r="Q40" s="28"/>
    </row>
    <row r="41" spans="1:17">
      <c r="A41" s="141">
        <f>A4</f>
        <v>0</v>
      </c>
      <c r="B41" s="815">
        <f>IF(ISBLANK(AFin!C46),AFin!F46,AFin!C46)</f>
        <v>0</v>
      </c>
      <c r="C41" s="815"/>
      <c r="D41" s="151">
        <f>+B41</f>
        <v>0</v>
      </c>
      <c r="E41" s="12"/>
      <c r="F41" s="12"/>
      <c r="G41" s="12"/>
      <c r="H41" s="28"/>
      <c r="I41" s="28"/>
      <c r="J41" s="28"/>
      <c r="K41" s="28"/>
      <c r="L41" s="28"/>
      <c r="M41" s="28"/>
      <c r="N41" s="28"/>
      <c r="O41" s="28"/>
      <c r="P41" s="28"/>
      <c r="Q41" s="28"/>
    </row>
    <row r="42" spans="1:17">
      <c r="A42" s="141">
        <f>A5</f>
        <v>0</v>
      </c>
      <c r="B42" s="815">
        <f>IF(ISBLANK(AFin!C45),AFin!F45,AFin!C45)</f>
        <v>0</v>
      </c>
      <c r="C42" s="815"/>
      <c r="D42" s="151">
        <f t="shared" ref="D42:D43" si="0">+B42</f>
        <v>0</v>
      </c>
      <c r="E42" s="12"/>
      <c r="F42" s="12"/>
      <c r="G42" s="12"/>
      <c r="H42" s="28"/>
      <c r="I42" s="28"/>
      <c r="J42" s="28"/>
      <c r="K42" s="28"/>
      <c r="L42" s="28"/>
      <c r="M42" s="28"/>
      <c r="N42" s="28"/>
      <c r="O42" s="28"/>
      <c r="P42" s="28"/>
      <c r="Q42" s="28"/>
    </row>
    <row r="43" spans="1:17">
      <c r="A43" s="141">
        <f>A6</f>
        <v>0</v>
      </c>
      <c r="B43" s="815">
        <f>IF(ISBLANK(AFin!C44),AFin!F44,AFin!C44)</f>
        <v>0</v>
      </c>
      <c r="C43" s="815"/>
      <c r="D43" s="151">
        <f t="shared" si="0"/>
        <v>0</v>
      </c>
      <c r="E43" s="12"/>
      <c r="F43" s="12"/>
      <c r="G43" s="12"/>
      <c r="H43" s="28"/>
      <c r="I43" s="28"/>
      <c r="J43" s="28"/>
      <c r="K43" s="28"/>
      <c r="L43" s="28"/>
      <c r="M43" s="28"/>
      <c r="N43" s="28"/>
      <c r="O43" s="28"/>
      <c r="P43" s="28"/>
      <c r="Q43" s="28"/>
    </row>
    <row r="44" spans="1:17">
      <c r="A44" s="17"/>
      <c r="B44" s="27"/>
      <c r="C44" s="27"/>
      <c r="D44" s="151"/>
      <c r="E44" s="28"/>
      <c r="F44" s="28"/>
      <c r="G44" s="28"/>
      <c r="H44" s="28"/>
      <c r="I44" s="28"/>
      <c r="J44" s="28"/>
      <c r="K44" s="28"/>
      <c r="L44" s="28"/>
      <c r="M44" s="28"/>
      <c r="N44" s="28"/>
      <c r="O44" s="28"/>
      <c r="P44" s="28"/>
      <c r="Q44" s="28"/>
    </row>
    <row r="45" spans="1:17">
      <c r="A45" s="483" t="str">
        <f>A8</f>
        <v>Commentaires retenus :</v>
      </c>
      <c r="B45" s="483"/>
      <c r="C45" s="519" t="e">
        <f>VLOOKUP(TRUE,A49:C55,2,FALSE)</f>
        <v>#N/A</v>
      </c>
      <c r="D45" s="151"/>
      <c r="E45" s="28"/>
      <c r="F45" s="28"/>
      <c r="G45" s="28"/>
      <c r="H45" s="28"/>
      <c r="I45" s="28"/>
      <c r="J45" s="28"/>
      <c r="K45" s="28"/>
      <c r="L45" s="28"/>
      <c r="M45" s="28"/>
      <c r="N45" s="28"/>
      <c r="O45" s="28"/>
      <c r="P45" s="28"/>
      <c r="Q45" s="28"/>
    </row>
    <row r="46" spans="1:17">
      <c r="A46" s="452" t="e">
        <f>VLOOKUP(TRUE,A49:C55,3,FALSE)</f>
        <v>#N/A</v>
      </c>
      <c r="B46" s="453"/>
      <c r="C46" s="453"/>
      <c r="D46" s="500"/>
      <c r="E46" s="453"/>
      <c r="F46" s="453"/>
      <c r="G46" s="453"/>
      <c r="H46" s="454"/>
      <c r="I46" s="28"/>
      <c r="J46" s="28"/>
      <c r="K46" s="28"/>
      <c r="L46" s="28"/>
      <c r="M46" s="28"/>
      <c r="N46" s="28"/>
      <c r="O46" s="28"/>
      <c r="P46" s="28"/>
      <c r="Q46" s="28"/>
    </row>
    <row r="47" spans="1:17">
      <c r="A47" s="493" t="str">
        <f>IFERROR(VLOOKUP(TRUE,A57:C60,3,FALSE),"")</f>
        <v/>
      </c>
      <c r="B47" s="494"/>
      <c r="C47" s="494"/>
      <c r="D47" s="499"/>
      <c r="E47" s="494"/>
      <c r="F47" s="494"/>
      <c r="G47" s="494"/>
      <c r="H47" s="495"/>
      <c r="I47" s="28"/>
      <c r="J47" s="28"/>
      <c r="K47" s="28"/>
      <c r="L47" s="28"/>
      <c r="M47" s="28"/>
      <c r="N47" s="28"/>
      <c r="O47" s="28"/>
      <c r="P47" s="28"/>
      <c r="Q47" s="28"/>
    </row>
    <row r="48" spans="1:17">
      <c r="A48" s="455" t="e">
        <f>VLOOKUP(TRUE,A61:C65,3,FALSE)</f>
        <v>#N/A</v>
      </c>
      <c r="B48" s="456"/>
      <c r="C48" s="456"/>
      <c r="D48" s="501"/>
      <c r="E48" s="456"/>
      <c r="F48" s="456"/>
      <c r="G48" s="456"/>
      <c r="H48" s="457"/>
      <c r="I48" s="28"/>
      <c r="J48" s="28"/>
      <c r="K48" s="28"/>
      <c r="L48" s="28"/>
      <c r="M48" s="28"/>
      <c r="N48" s="28"/>
      <c r="O48" s="28"/>
      <c r="P48" s="28"/>
      <c r="Q48" s="28"/>
    </row>
    <row r="49" spans="1:17">
      <c r="A49" s="502" t="b">
        <f>IF(AND(B41&lt;B42,B42&lt;B43),TRUE,FALSE)</f>
        <v>0</v>
      </c>
      <c r="B49" s="340">
        <f>B13</f>
        <v>1</v>
      </c>
      <c r="C49" s="1080" t="e">
        <f>"Croissance continue du Résultat Net sur les 3 dernières années : +"&amp;ROUND((B43-B41)/B41*100,2)&amp;"% en 3 ans, soit un taux de croissance annuel de +"&amp;ROUND(((B43-B41)/B41*100)/3,2)&amp;"%."</f>
        <v>#DIV/0!</v>
      </c>
      <c r="D49" s="1080"/>
      <c r="E49" s="1080"/>
      <c r="F49" s="1080"/>
      <c r="G49" s="1080"/>
      <c r="H49" s="1080"/>
      <c r="I49" s="28"/>
      <c r="J49" s="28"/>
      <c r="K49" s="28"/>
      <c r="L49" s="28"/>
      <c r="M49" s="28"/>
      <c r="N49" s="28"/>
      <c r="O49" s="28"/>
      <c r="P49" s="28"/>
      <c r="Q49" s="28"/>
    </row>
    <row r="50" spans="1:17">
      <c r="A50" s="341"/>
      <c r="B50" s="503"/>
      <c r="C50" s="1080"/>
      <c r="D50" s="1080"/>
      <c r="E50" s="1080"/>
      <c r="F50" s="1080"/>
      <c r="G50" s="1080"/>
      <c r="H50" s="1080"/>
      <c r="I50" s="28"/>
      <c r="J50" s="28"/>
      <c r="K50" s="28"/>
      <c r="L50" s="28"/>
      <c r="M50" s="28"/>
      <c r="N50" s="28"/>
      <c r="O50" s="28"/>
      <c r="P50" s="28"/>
      <c r="Q50" s="28"/>
    </row>
    <row r="51" spans="1:17">
      <c r="A51" s="502" t="b">
        <f>IF(AND(B41&gt;B42,B42&gt;B43),TRUE,FALSE)</f>
        <v>0</v>
      </c>
      <c r="B51" s="340">
        <f>B15</f>
        <v>-1</v>
      </c>
      <c r="C51" s="1080" t="e">
        <f>"Baisse continue du Résultat Net sur les 3 dernières années : "&amp;ROUND((B43-B41)/B41*100,2)&amp;"% en 3 ans, soit un taux de croissance annuel de "&amp;ROUND(((B43-B41)/B41*100)/3,2)&amp;"%."</f>
        <v>#DIV/0!</v>
      </c>
      <c r="D51" s="1080"/>
      <c r="E51" s="1080"/>
      <c r="F51" s="1080"/>
      <c r="G51" s="1080"/>
      <c r="H51" s="1080"/>
      <c r="I51" s="28"/>
      <c r="J51" s="28"/>
      <c r="K51" s="28"/>
      <c r="L51" s="28"/>
      <c r="M51" s="28"/>
      <c r="N51" s="28"/>
      <c r="O51" s="28"/>
      <c r="P51" s="28"/>
      <c r="Q51" s="28"/>
    </row>
    <row r="52" spans="1:17">
      <c r="A52" s="204"/>
      <c r="B52" s="204"/>
      <c r="C52" s="1080"/>
      <c r="D52" s="1080"/>
      <c r="E52" s="1080"/>
      <c r="F52" s="1080"/>
      <c r="G52" s="1080"/>
      <c r="H52" s="1080"/>
      <c r="I52" s="28"/>
      <c r="J52" s="28"/>
      <c r="K52" s="28"/>
      <c r="L52" s="28"/>
      <c r="M52" s="28"/>
      <c r="N52" s="28"/>
      <c r="O52" s="28"/>
      <c r="P52" s="28"/>
      <c r="Q52" s="28"/>
    </row>
    <row r="53" spans="1:17">
      <c r="A53" s="502" t="b">
        <f>IF(AND(B41&lt;B43,A49=FALSE,A51=FALSE),TRUE,FALSE)</f>
        <v>0</v>
      </c>
      <c r="B53" s="340">
        <f>B17</f>
        <v>0</v>
      </c>
      <c r="C53" s="1080" t="e">
        <f>"Sur les 3 dernières années, tendance à la hausse du Résultat Net, avec un taux de croissance annuel de +"&amp;ROUND(((B43-B41)/B41*100)/3,2)&amp;"%."</f>
        <v>#DIV/0!</v>
      </c>
      <c r="D53" s="1080"/>
      <c r="E53" s="1080"/>
      <c r="F53" s="1080"/>
      <c r="G53" s="1080"/>
      <c r="H53" s="1080"/>
      <c r="I53" s="19"/>
      <c r="J53" s="19"/>
      <c r="K53" s="19"/>
      <c r="L53" s="19"/>
      <c r="M53" s="19"/>
      <c r="N53" s="19"/>
      <c r="O53" s="19"/>
      <c r="P53" s="19"/>
      <c r="Q53" s="19"/>
    </row>
    <row r="54" spans="1:17">
      <c r="A54" s="204"/>
      <c r="B54" s="204"/>
      <c r="C54" s="1080"/>
      <c r="D54" s="1080"/>
      <c r="E54" s="1080"/>
      <c r="F54" s="1080"/>
      <c r="G54" s="1080"/>
      <c r="H54" s="1080"/>
      <c r="I54" s="19"/>
      <c r="J54" s="19"/>
      <c r="K54" s="19"/>
      <c r="L54" s="19"/>
      <c r="M54" s="19"/>
      <c r="N54" s="19"/>
      <c r="O54" s="19"/>
      <c r="P54" s="19"/>
      <c r="Q54" s="19"/>
    </row>
    <row r="55" spans="1:17">
      <c r="A55" s="502" t="b">
        <f>IF(AND(B41&gt;B43,A51=FALSE,A49=FALSE),TRUE,FALSE)</f>
        <v>0</v>
      </c>
      <c r="B55" s="340">
        <f>B19</f>
        <v>0</v>
      </c>
      <c r="C55" s="1080" t="e">
        <f>"Sur les 3 dernières années, tendance à la baisse du Résultat Net, avec un taux de croissance annuel de "&amp;ROUND(((B43-B41)/B41*100)/3,2)&amp;"%."</f>
        <v>#DIV/0!</v>
      </c>
      <c r="D55" s="1080"/>
      <c r="E55" s="1080"/>
      <c r="F55" s="1080"/>
      <c r="G55" s="1080"/>
      <c r="H55" s="1080"/>
      <c r="I55" s="19"/>
      <c r="J55" s="19"/>
      <c r="K55" s="19"/>
      <c r="L55" s="19"/>
      <c r="M55" s="19"/>
      <c r="N55" s="19"/>
      <c r="O55" s="19"/>
      <c r="P55" s="19"/>
      <c r="Q55" s="19"/>
    </row>
    <row r="56" spans="1:17">
      <c r="A56" s="504"/>
      <c r="B56" s="341"/>
      <c r="C56" s="1080"/>
      <c r="D56" s="1080"/>
      <c r="E56" s="1080"/>
      <c r="F56" s="1080"/>
      <c r="G56" s="1080"/>
      <c r="H56" s="1080"/>
      <c r="I56" s="19"/>
      <c r="J56" s="19"/>
      <c r="K56" s="19"/>
      <c r="L56" s="19"/>
      <c r="M56" s="19"/>
      <c r="N56" s="19"/>
      <c r="O56" s="19"/>
      <c r="P56" s="19"/>
      <c r="Q56" s="19"/>
    </row>
    <row r="57" spans="1:17">
      <c r="A57" s="505" t="b">
        <f>IF(AND(A55=TRUE,B41&lt;B42),TRUE,FALSE)</f>
        <v>0</v>
      </c>
      <c r="B57" s="141"/>
      <c r="C57" s="1080" t="e">
        <f>"On note tout de même une amélioration entre "&amp;A41&amp;" et "&amp;A42&amp;" : +"&amp;IF((B42-B41)/B4*100&gt;0,ROUND(((B42-B41)/B41*100),2),ROUND(((B42-B41)/-B41*100),2))&amp;" %."</f>
        <v>#DIV/0!</v>
      </c>
      <c r="D57" s="1080"/>
      <c r="E57" s="1080"/>
      <c r="F57" s="1080"/>
      <c r="G57" s="1080"/>
      <c r="H57" s="1080"/>
      <c r="I57" s="19"/>
      <c r="J57" s="19"/>
      <c r="K57" s="19"/>
      <c r="L57" s="19"/>
      <c r="M57" s="19"/>
      <c r="N57" s="19"/>
      <c r="O57" s="19"/>
      <c r="P57" s="19"/>
      <c r="Q57" s="19"/>
    </row>
    <row r="58" spans="1:17">
      <c r="A58" s="505" t="b">
        <f>IF(AND(A53=TRUE,B41&gt;B42),TRUE,FALSE)</f>
        <v>0</v>
      </c>
      <c r="B58" s="141"/>
      <c r="C58" s="1089" t="e">
        <f>"On note cependant une dégradation entre "&amp;A41&amp;" et "&amp;A42&amp;" : "&amp;ROUND(((B42-B41)/B41*100),2)&amp;" %."</f>
        <v>#DIV/0!</v>
      </c>
      <c r="D58" s="1089"/>
      <c r="E58" s="1089"/>
      <c r="F58" s="1089"/>
      <c r="G58" s="1089"/>
      <c r="H58" s="1089"/>
      <c r="I58" s="19"/>
      <c r="J58" s="19"/>
      <c r="K58" s="19"/>
      <c r="L58" s="19"/>
      <c r="M58" s="19"/>
      <c r="N58" s="19"/>
      <c r="O58" s="19"/>
      <c r="P58" s="19"/>
      <c r="Q58" s="19"/>
    </row>
    <row r="59" spans="1:17">
      <c r="A59" s="505" t="b">
        <f>IF(AND(A55=TRUE,B42&lt;B43),TRUE,FALSE)</f>
        <v>0</v>
      </c>
      <c r="B59" s="141"/>
      <c r="C59" s="1080" t="e">
        <f>"On note tout de même une amélioration entre "&amp;A42&amp;" et "&amp;A43&amp;" : +"&amp;IF((B43-B42)/B42*100&gt;0,ROUND(((B43-B42)/B42*100),2),ROUND(((B43-B42)/-B42*100),2))&amp;" %."</f>
        <v>#DIV/0!</v>
      </c>
      <c r="D59" s="1080"/>
      <c r="E59" s="1080"/>
      <c r="F59" s="1080"/>
      <c r="G59" s="1080"/>
      <c r="H59" s="1080"/>
      <c r="I59" s="19"/>
      <c r="J59" s="19"/>
      <c r="K59" s="19"/>
      <c r="L59" s="19"/>
      <c r="M59" s="19"/>
      <c r="N59" s="19"/>
      <c r="O59" s="19"/>
      <c r="P59" s="19"/>
      <c r="Q59" s="19"/>
    </row>
    <row r="60" spans="1:17">
      <c r="A60" s="505" t="b">
        <f>IF(AND(A53=TRUE,B42&gt;B43),TRUE,FALSE)</f>
        <v>0</v>
      </c>
      <c r="B60" s="141"/>
      <c r="C60" s="1080" t="e">
        <f>"On note cependant une dégradation entre "&amp;A42&amp;" et "&amp;A43&amp;" : "&amp;ROUND(((B43-B42)/B42*100),2)&amp;" %."</f>
        <v>#DIV/0!</v>
      </c>
      <c r="D60" s="1080"/>
      <c r="E60" s="1080"/>
      <c r="F60" s="1080"/>
      <c r="G60" s="1080"/>
      <c r="H60" s="1080"/>
      <c r="I60" s="19"/>
      <c r="J60" s="19"/>
      <c r="K60" s="19"/>
      <c r="L60" s="19"/>
      <c r="M60" s="19"/>
      <c r="N60" s="19"/>
      <c r="O60" s="19"/>
      <c r="P60" s="19"/>
      <c r="Q60" s="19"/>
    </row>
    <row r="61" spans="1:17">
      <c r="A61" s="506" t="e">
        <f>IF(AND((B43-B41)/B41&gt;0.05,A49=TRUE),TRUE,FALSE)</f>
        <v>#DIV/0!</v>
      </c>
      <c r="B61" s="141"/>
      <c r="C61" s="1080" t="s">
        <v>38</v>
      </c>
      <c r="D61" s="1080"/>
      <c r="E61" s="1080"/>
      <c r="F61" s="1080"/>
      <c r="G61" s="1080"/>
      <c r="H61" s="1080"/>
      <c r="I61" s="19"/>
      <c r="J61" s="19"/>
      <c r="K61" s="19"/>
      <c r="L61" s="19"/>
      <c r="M61" s="19"/>
      <c r="N61" s="19"/>
      <c r="O61" s="19"/>
      <c r="P61" s="19"/>
      <c r="Q61" s="19"/>
    </row>
    <row r="62" spans="1:17">
      <c r="A62" s="506" t="e">
        <f>IF(AND(0.05&gt;(B43-B41)/B41&gt;0.025,A49=TRUE),TRUE,FALSE)</f>
        <v>#DIV/0!</v>
      </c>
      <c r="B62" s="141"/>
      <c r="C62" s="1080" t="s">
        <v>39</v>
      </c>
      <c r="D62" s="1080"/>
      <c r="E62" s="1080"/>
      <c r="F62" s="1080"/>
      <c r="G62" s="1080"/>
      <c r="H62" s="1080"/>
      <c r="I62" s="19"/>
      <c r="J62" s="19"/>
      <c r="K62" s="19"/>
      <c r="L62" s="19"/>
      <c r="M62" s="19"/>
      <c r="N62" s="19"/>
      <c r="O62" s="19"/>
      <c r="P62" s="19"/>
      <c r="Q62" s="19"/>
    </row>
    <row r="63" spans="1:17">
      <c r="A63" s="506" t="e">
        <f>IF(AND(A53=TRUE,(B43-B41)/B41&gt;0.025),TRUE,FALSE)</f>
        <v>#DIV/0!</v>
      </c>
      <c r="B63" s="141"/>
      <c r="C63" s="1080" t="s">
        <v>40</v>
      </c>
      <c r="D63" s="1080"/>
      <c r="E63" s="1080"/>
      <c r="F63" s="1080"/>
      <c r="G63" s="1080"/>
      <c r="H63" s="1080"/>
      <c r="I63" s="19"/>
      <c r="J63" s="19"/>
      <c r="K63" s="19"/>
      <c r="L63" s="19"/>
      <c r="M63" s="19"/>
      <c r="N63" s="19"/>
      <c r="O63" s="19"/>
      <c r="P63" s="19"/>
      <c r="Q63" s="19"/>
    </row>
    <row r="64" spans="1:17">
      <c r="A64" s="506" t="e">
        <f>IF(AND(OR(A51=TRUE,A55=TRUE),(B43-B41)/B41&lt;-0.025),TRUE,FALSE)</f>
        <v>#DIV/0!</v>
      </c>
      <c r="B64" s="141"/>
      <c r="C64" s="1080" t="s">
        <v>41</v>
      </c>
      <c r="D64" s="1080"/>
      <c r="E64" s="1080"/>
      <c r="F64" s="1080"/>
      <c r="G64" s="1080"/>
      <c r="H64" s="1080"/>
      <c r="I64" s="19"/>
      <c r="J64" s="19"/>
      <c r="K64" s="19"/>
      <c r="L64" s="19"/>
      <c r="M64" s="19"/>
      <c r="N64" s="19"/>
      <c r="O64" s="19"/>
      <c r="P64" s="19"/>
      <c r="Q64" s="19"/>
    </row>
    <row r="65" spans="1:17">
      <c r="A65" s="506" t="e">
        <f>IF(AND(OR(A51=TRUE,A55=TRUE),0&lt;(B43-B41)/B41&lt;-0.025),TRUE,FALSE)</f>
        <v>#DIV/0!</v>
      </c>
      <c r="B65" s="141"/>
      <c r="C65" s="1080" t="s">
        <v>41</v>
      </c>
      <c r="D65" s="1080"/>
      <c r="E65" s="1080"/>
      <c r="F65" s="1080"/>
      <c r="G65" s="1080"/>
      <c r="H65" s="1080"/>
      <c r="I65" s="19"/>
      <c r="J65" s="19"/>
      <c r="K65" s="19"/>
      <c r="L65" s="19"/>
      <c r="M65" s="19"/>
      <c r="N65" s="19"/>
      <c r="O65" s="19"/>
      <c r="P65" s="19"/>
      <c r="Q65" s="19"/>
    </row>
    <row r="66" spans="1:17">
      <c r="A66" s="19"/>
      <c r="B66" s="19"/>
      <c r="C66" s="19"/>
      <c r="D66" s="19"/>
      <c r="E66" s="19"/>
      <c r="F66" s="19"/>
      <c r="G66" s="19"/>
      <c r="H66" s="19"/>
      <c r="I66" s="19"/>
      <c r="J66" s="19"/>
      <c r="K66" s="19"/>
      <c r="L66" s="19"/>
      <c r="M66" s="19"/>
      <c r="N66" s="19"/>
      <c r="O66" s="19"/>
      <c r="P66" s="19"/>
      <c r="Q66" s="19"/>
    </row>
    <row r="67" spans="1:17">
      <c r="A67" s="209" t="s">
        <v>43</v>
      </c>
      <c r="B67" s="172"/>
      <c r="C67" s="19"/>
      <c r="D67" s="19"/>
      <c r="E67" s="19"/>
      <c r="F67" s="19"/>
      <c r="G67" s="19"/>
      <c r="H67" s="19"/>
      <c r="I67" s="19"/>
      <c r="J67" s="19"/>
      <c r="K67" s="19"/>
      <c r="L67" s="19"/>
      <c r="M67" s="19"/>
      <c r="N67" s="19"/>
      <c r="O67" s="19"/>
      <c r="P67" s="19"/>
      <c r="Q67" s="19"/>
    </row>
    <row r="68" spans="1:17">
      <c r="A68" s="19" t="s">
        <v>140</v>
      </c>
      <c r="B68" s="19"/>
      <c r="C68" s="19"/>
      <c r="D68" s="19"/>
      <c r="E68" s="19" t="s">
        <v>140</v>
      </c>
      <c r="F68" s="19"/>
      <c r="G68" s="19"/>
      <c r="H68" s="19"/>
      <c r="I68" s="19"/>
      <c r="J68" s="19"/>
      <c r="K68" s="19"/>
      <c r="L68" s="19"/>
      <c r="M68" s="19"/>
      <c r="N68" s="19"/>
      <c r="O68" s="19"/>
      <c r="P68" s="19"/>
      <c r="Q68" s="19"/>
    </row>
    <row r="69" spans="1:17">
      <c r="A69" s="20" t="s">
        <v>42</v>
      </c>
      <c r="B69" s="21"/>
      <c r="C69" s="141">
        <f>B43</f>
        <v>0</v>
      </c>
      <c r="D69" s="151">
        <f>IF(C69&gt;0,C69,-C69)</f>
        <v>0</v>
      </c>
      <c r="E69" s="141">
        <f>IF(F69=0,D69,0)</f>
        <v>0</v>
      </c>
      <c r="F69" s="141">
        <f>IF(C69&gt;=0,C69,0)</f>
        <v>0</v>
      </c>
      <c r="G69" s="19"/>
      <c r="H69" s="19"/>
      <c r="I69" s="19"/>
      <c r="J69" s="19"/>
      <c r="K69" s="19"/>
      <c r="L69" s="19"/>
      <c r="M69" s="19"/>
      <c r="N69" s="19"/>
      <c r="O69" s="19"/>
      <c r="P69" s="19"/>
      <c r="Q69" s="19"/>
    </row>
    <row r="70" spans="1:17">
      <c r="A70" s="20" t="str">
        <f>AFin!A34</f>
        <v>Résultat d'exploitation</v>
      </c>
      <c r="B70" s="21"/>
      <c r="C70" s="141">
        <f>IF(ISBLANK(AFin!C34),AFin!F34,AFin!C34-AFin!C48)</f>
        <v>0</v>
      </c>
      <c r="D70" s="151">
        <f t="shared" ref="D70:D72" si="1">IF(C70&gt;0,C70,-C70)</f>
        <v>0</v>
      </c>
      <c r="E70" s="141">
        <f t="shared" ref="E70:E72" si="2">IF(F70=0,D70,0)</f>
        <v>0</v>
      </c>
      <c r="F70" s="141">
        <f>IF(C70&gt;=0,0,D70)</f>
        <v>0</v>
      </c>
      <c r="G70" s="151" t="str">
        <f>A70</f>
        <v>Résultat d'exploitation</v>
      </c>
      <c r="H70" s="19"/>
      <c r="N70" s="28"/>
      <c r="O70" s="28"/>
      <c r="P70" s="28"/>
      <c r="Q70" s="19"/>
    </row>
    <row r="71" spans="1:17">
      <c r="A71" s="20" t="str">
        <f>AFin!A38</f>
        <v>Résultat financier</v>
      </c>
      <c r="B71" s="21"/>
      <c r="C71" s="141">
        <f>IF(ISBLANK(AFin!C38),IF(AFin!B13="IR au réel normal",AFin!F38,AFin!F38-AFin!F36),AFin!C38)</f>
        <v>0</v>
      </c>
      <c r="D71" s="151">
        <f t="shared" si="1"/>
        <v>0</v>
      </c>
      <c r="E71" s="141">
        <f t="shared" si="2"/>
        <v>0</v>
      </c>
      <c r="F71" s="141">
        <f t="shared" ref="F71:F72" si="3">IF(C71&gt;=0,0,D71)</f>
        <v>0</v>
      </c>
      <c r="G71" s="151" t="str">
        <f t="shared" ref="G71:G72" si="4">A71</f>
        <v>Résultat financier</v>
      </c>
      <c r="H71" s="19"/>
      <c r="N71" s="28"/>
      <c r="O71" s="28"/>
      <c r="P71" s="28"/>
      <c r="Q71" s="19"/>
    </row>
    <row r="72" spans="1:17">
      <c r="A72" s="20" t="str">
        <f>AFin!A42</f>
        <v>Résultat exceptionnel</v>
      </c>
      <c r="B72" s="21"/>
      <c r="C72" s="141">
        <f>IF(ISBLANK(AFin!C42),IF(AFin!B13="IR au réel normal",AFin!F42,AFin!F42-AFin!G42),AFin!C42)</f>
        <v>0</v>
      </c>
      <c r="D72" s="151">
        <f t="shared" si="1"/>
        <v>0</v>
      </c>
      <c r="E72" s="141">
        <f t="shared" si="2"/>
        <v>0</v>
      </c>
      <c r="F72" s="141">
        <f t="shared" si="3"/>
        <v>0</v>
      </c>
      <c r="G72" s="151" t="str">
        <f t="shared" si="4"/>
        <v>Résultat exceptionnel</v>
      </c>
      <c r="H72" s="19"/>
      <c r="N72" s="28"/>
      <c r="O72" s="28"/>
      <c r="P72" s="28"/>
      <c r="Q72" s="19"/>
    </row>
    <row r="73" spans="1:17">
      <c r="A73" s="17"/>
      <c r="B73" s="17"/>
      <c r="C73" s="17"/>
      <c r="D73" s="19"/>
      <c r="E73" s="17"/>
      <c r="F73" s="28"/>
      <c r="G73" s="19"/>
      <c r="H73" s="19"/>
      <c r="I73" s="19"/>
      <c r="J73" s="28"/>
      <c r="K73" s="28"/>
      <c r="L73" s="28"/>
      <c r="M73" s="28"/>
      <c r="N73" s="28"/>
      <c r="O73" s="28"/>
      <c r="P73" s="28"/>
      <c r="Q73" s="19"/>
    </row>
    <row r="74" spans="1:17">
      <c r="A74" s="17"/>
      <c r="B74" s="511">
        <f>SUM(C75:F76)</f>
        <v>0</v>
      </c>
      <c r="C74" s="510" t="s">
        <v>143</v>
      </c>
      <c r="D74" s="510" t="s">
        <v>146</v>
      </c>
      <c r="E74" s="510" t="s">
        <v>147</v>
      </c>
      <c r="F74" s="510" t="s">
        <v>148</v>
      </c>
      <c r="G74" s="19"/>
      <c r="H74" s="19"/>
      <c r="I74" s="19"/>
      <c r="J74" s="28"/>
      <c r="K74" s="28"/>
      <c r="L74" s="28"/>
      <c r="M74" s="28"/>
      <c r="N74" s="28"/>
      <c r="O74" s="28"/>
      <c r="P74" s="28"/>
      <c r="Q74" s="19"/>
    </row>
    <row r="75" spans="1:17">
      <c r="A75" s="17"/>
      <c r="B75" s="510" t="s">
        <v>145</v>
      </c>
      <c r="C75" s="510">
        <f>IF(C69&gt;0,2,0)</f>
        <v>0</v>
      </c>
      <c r="D75" s="510">
        <f>IF(C70&gt;0,2,0)</f>
        <v>0</v>
      </c>
      <c r="E75" s="510">
        <f>IF(C71&gt;0,0.5,0)</f>
        <v>0</v>
      </c>
      <c r="F75" s="510">
        <f>IF(C72&gt;0,0.5,0)</f>
        <v>0</v>
      </c>
      <c r="G75" s="19"/>
      <c r="H75" s="19"/>
      <c r="I75" s="19"/>
      <c r="J75" s="28"/>
      <c r="K75" s="28"/>
      <c r="L75" s="28"/>
      <c r="M75" s="28"/>
      <c r="N75" s="28"/>
      <c r="O75" s="28"/>
      <c r="P75" s="28"/>
      <c r="Q75" s="19"/>
    </row>
    <row r="76" spans="1:17">
      <c r="A76" s="17"/>
      <c r="B76" s="359" t="s">
        <v>144</v>
      </c>
      <c r="C76" s="510">
        <f>IF(C69&lt;0,-2,0)</f>
        <v>0</v>
      </c>
      <c r="D76" s="510">
        <f>IF(C70&lt;0,-2,0)</f>
        <v>0</v>
      </c>
      <c r="E76" s="510">
        <f>IF(C71&lt;0,-0.5,0)</f>
        <v>0</v>
      </c>
      <c r="F76" s="510">
        <f>IF(C72&lt;0,-0.5,0)</f>
        <v>0</v>
      </c>
      <c r="G76" s="19"/>
      <c r="H76" s="19"/>
      <c r="I76" s="19"/>
      <c r="J76" s="28"/>
      <c r="K76" s="28"/>
      <c r="L76" s="28"/>
      <c r="M76" s="28"/>
      <c r="N76" s="28"/>
      <c r="O76" s="28"/>
      <c r="P76" s="28"/>
      <c r="Q76" s="19"/>
    </row>
    <row r="77" spans="1:17">
      <c r="A77" s="17"/>
      <c r="B77" s="17"/>
      <c r="C77" s="17"/>
      <c r="D77" s="19"/>
      <c r="E77" s="17"/>
      <c r="F77" s="28"/>
      <c r="G77" s="19"/>
      <c r="H77" s="19"/>
      <c r="I77" s="19"/>
      <c r="J77" s="28"/>
      <c r="K77" s="28"/>
      <c r="L77" s="28"/>
      <c r="M77" s="28"/>
      <c r="N77" s="28"/>
      <c r="O77" s="28"/>
      <c r="P77" s="28"/>
      <c r="Q77" s="19"/>
    </row>
    <row r="78" spans="1:17">
      <c r="A78" s="1102" t="e">
        <f>VLOOKUP(TRUE,A80:H83,2,FALSE)</f>
        <v>#N/A</v>
      </c>
      <c r="B78" s="1103"/>
      <c r="C78" s="1103"/>
      <c r="D78" s="1103"/>
      <c r="E78" s="1103"/>
      <c r="F78" s="1103"/>
      <c r="G78" s="1103"/>
      <c r="H78" s="1104"/>
      <c r="I78" s="486"/>
      <c r="J78" s="28"/>
      <c r="K78" s="28"/>
      <c r="L78" s="28"/>
      <c r="M78" s="28"/>
      <c r="N78" s="28"/>
      <c r="O78" s="28"/>
      <c r="P78" s="28"/>
      <c r="Q78" s="19"/>
    </row>
    <row r="79" spans="1:17">
      <c r="A79" s="1105"/>
      <c r="B79" s="1106"/>
      <c r="C79" s="1106"/>
      <c r="D79" s="1106"/>
      <c r="E79" s="1106"/>
      <c r="F79" s="1106"/>
      <c r="G79" s="1106"/>
      <c r="H79" s="1107"/>
      <c r="I79" s="486"/>
      <c r="J79" s="28"/>
      <c r="K79" s="28"/>
      <c r="L79" s="28"/>
      <c r="M79" s="28"/>
      <c r="N79" s="28"/>
      <c r="O79" s="28"/>
      <c r="P79" s="28"/>
      <c r="Q79" s="19"/>
    </row>
    <row r="80" spans="1:17">
      <c r="A80" s="507" t="b">
        <f>IF(C69&gt;0,TRUE,FALSE)</f>
        <v>0</v>
      </c>
      <c r="B80" s="1090" t="str">
        <f>"Le Résultat Net est positif : l'entreprise réalise un bénéfice, qui est engendré essentiellement par le "&amp;VLOOKUP(MAX(E70:E72),E70:G72,3,FALSE)&amp;"."</f>
        <v>Le Résultat Net est positif : l'entreprise réalise un bénéfice, qui est engendré essentiellement par le Résultat d'exploitation.</v>
      </c>
      <c r="C80" s="1091"/>
      <c r="D80" s="1091"/>
      <c r="E80" s="1091"/>
      <c r="F80" s="1091"/>
      <c r="G80" s="1091"/>
      <c r="H80" s="1092"/>
      <c r="I80" s="486"/>
      <c r="J80" s="28"/>
      <c r="K80" s="28"/>
      <c r="L80" s="28"/>
      <c r="M80" s="28"/>
      <c r="N80" s="28"/>
      <c r="O80" s="28"/>
      <c r="P80" s="28"/>
      <c r="Q80" s="19"/>
    </row>
    <row r="81" spans="1:17">
      <c r="A81" s="492"/>
      <c r="B81" s="1093"/>
      <c r="C81" s="1094"/>
      <c r="D81" s="1094"/>
      <c r="E81" s="1094"/>
      <c r="F81" s="1094"/>
      <c r="G81" s="1094"/>
      <c r="H81" s="1095"/>
      <c r="I81" s="486"/>
      <c r="J81" s="28"/>
      <c r="K81" s="28"/>
      <c r="L81" s="28"/>
      <c r="M81" s="28"/>
      <c r="N81" s="28"/>
      <c r="O81" s="28"/>
      <c r="P81" s="28"/>
      <c r="Q81" s="19"/>
    </row>
    <row r="82" spans="1:17">
      <c r="A82" s="508" t="b">
        <f>IF(C69&lt;0,TRUE,FALSE)</f>
        <v>0</v>
      </c>
      <c r="B82" s="1096" t="str">
        <f>"Le Résultat Net est négatif : l'entreprise réalise une perte, qui est causée essentiellement par le "&amp;VLOOKUP(MAX(E70:E72),E70:G72,3,FALSE)&amp;"."</f>
        <v>Le Résultat Net est négatif : l'entreprise réalise une perte, qui est causée essentiellement par le Résultat d'exploitation.</v>
      </c>
      <c r="C82" s="1097"/>
      <c r="D82" s="1097"/>
      <c r="E82" s="1097"/>
      <c r="F82" s="1097"/>
      <c r="G82" s="1097"/>
      <c r="H82" s="1098"/>
      <c r="I82" s="486"/>
      <c r="J82" s="28"/>
      <c r="K82" s="28"/>
      <c r="L82" s="28"/>
      <c r="M82" s="28"/>
      <c r="N82" s="28"/>
      <c r="O82" s="28"/>
      <c r="P82" s="28"/>
      <c r="Q82" s="19"/>
    </row>
    <row r="83" spans="1:17">
      <c r="A83" s="509"/>
      <c r="B83" s="1093"/>
      <c r="C83" s="1094"/>
      <c r="D83" s="1094"/>
      <c r="E83" s="1094"/>
      <c r="F83" s="1094"/>
      <c r="G83" s="1094"/>
      <c r="H83" s="1095"/>
      <c r="I83" s="486"/>
      <c r="J83" s="28"/>
      <c r="K83" s="28"/>
      <c r="L83" s="28"/>
      <c r="M83" s="28"/>
      <c r="N83" s="28"/>
      <c r="O83" s="28"/>
      <c r="P83" s="28"/>
      <c r="Q83" s="19"/>
    </row>
    <row r="84" spans="1:17">
      <c r="A84" s="28"/>
      <c r="B84" s="28"/>
      <c r="C84" s="28"/>
      <c r="D84" s="28"/>
      <c r="E84" s="28"/>
      <c r="F84" s="28"/>
      <c r="G84" s="28"/>
      <c r="H84" s="28"/>
      <c r="I84" s="486"/>
      <c r="J84" s="28"/>
      <c r="K84" s="28"/>
      <c r="L84" s="28"/>
      <c r="M84" s="28"/>
      <c r="N84" s="28"/>
      <c r="O84" s="28"/>
      <c r="P84" s="28"/>
      <c r="Q84" s="19"/>
    </row>
    <row r="85" spans="1:17">
      <c r="A85" s="1076">
        <f>VLOOKUP(TRUE,A86:B88,2,FALSE)</f>
        <v>0</v>
      </c>
      <c r="B85" s="1076"/>
      <c r="C85" s="1076"/>
      <c r="D85" s="1076"/>
      <c r="E85" s="1076"/>
      <c r="F85" s="1076"/>
      <c r="G85" s="1076"/>
      <c r="H85" s="1076"/>
      <c r="I85" s="28"/>
      <c r="J85" s="28"/>
      <c r="K85" s="28"/>
      <c r="L85" s="19"/>
      <c r="M85" s="19"/>
      <c r="N85" s="19"/>
      <c r="O85" s="19"/>
      <c r="P85" s="19"/>
      <c r="Q85" s="19"/>
    </row>
    <row r="86" spans="1:17">
      <c r="A86" s="150" t="b">
        <f>IF(AND(C69&gt;0,OR(C70&lt;0,C71&lt;0,C72&lt;0)),TRUE,FALSE)</f>
        <v>0</v>
      </c>
      <c r="B86" s="1082" t="str">
        <f>"Le bénéfice est amoindri par"&amp;IF(C70&lt;0,"le Résultat d'Exploitation","")&amp;IF(C71&lt;0," le Résultat Financier","")&amp;IF(C72&lt;0," le Résultat Exceptionnel","")</f>
        <v>Le bénéfice est amoindri par</v>
      </c>
      <c r="C86" s="1082"/>
      <c r="D86" s="1082"/>
      <c r="E86" s="1082"/>
      <c r="F86" s="1082"/>
      <c r="G86" s="1082"/>
      <c r="H86" s="1082"/>
      <c r="I86" s="28"/>
      <c r="J86" s="28"/>
      <c r="K86" s="28"/>
      <c r="L86" s="19"/>
      <c r="M86" s="19"/>
      <c r="N86" s="19"/>
      <c r="O86" s="19"/>
      <c r="P86" s="19"/>
      <c r="Q86" s="19"/>
    </row>
    <row r="87" spans="1:17">
      <c r="A87" s="150" t="b">
        <f>IF(AND(C69&lt;0,OR(C70&gt;0,C71&gt;0,C72&gt;0)),TRUE,FALSE)</f>
        <v>0</v>
      </c>
      <c r="B87" s="1082" t="str">
        <f>"La perte est amoindrie par "&amp;IF(C70&gt;0,"le Résultat d'Exploitation","")&amp;IF(C71&gt;0," le Résultat Financier","")&amp;IF(C72&gt;0," le Résultat Exceptionnel","")</f>
        <v xml:space="preserve">La perte est amoindrie par </v>
      </c>
      <c r="C87" s="1082"/>
      <c r="D87" s="1082"/>
      <c r="E87" s="1082"/>
      <c r="F87" s="1082"/>
      <c r="G87" s="1082"/>
      <c r="H87" s="1082"/>
      <c r="I87" s="28"/>
      <c r="J87" s="28"/>
      <c r="K87" s="28"/>
      <c r="L87" s="19"/>
      <c r="M87" s="19"/>
      <c r="N87" s="19"/>
      <c r="O87" s="19"/>
      <c r="P87" s="19"/>
      <c r="Q87" s="19"/>
    </row>
    <row r="88" spans="1:17">
      <c r="A88" s="150" t="b">
        <f>IF(AND(A86=FALSE,A87=FALSE),TRUE,FALSE)</f>
        <v>1</v>
      </c>
      <c r="B88" s="1082"/>
      <c r="C88" s="1082"/>
      <c r="D88" s="1082"/>
      <c r="E88" s="1082"/>
      <c r="F88" s="1082"/>
      <c r="G88" s="1082"/>
      <c r="H88" s="1082"/>
      <c r="I88" s="28"/>
      <c r="J88" s="28"/>
      <c r="K88" s="28"/>
      <c r="L88" s="19"/>
      <c r="M88" s="19"/>
      <c r="N88" s="19"/>
      <c r="O88" s="19"/>
      <c r="P88" s="19"/>
      <c r="Q88" s="19"/>
    </row>
    <row r="89" spans="1:17">
      <c r="A89" s="28"/>
      <c r="B89" s="28"/>
      <c r="C89" s="28"/>
      <c r="D89" s="28"/>
      <c r="E89" s="19"/>
      <c r="F89" s="19"/>
      <c r="G89" s="19"/>
      <c r="H89" s="19"/>
      <c r="I89" s="19"/>
      <c r="J89" s="19"/>
      <c r="K89" s="19"/>
      <c r="L89" s="19"/>
      <c r="M89" s="19"/>
      <c r="N89" s="19"/>
      <c r="O89" s="19"/>
      <c r="P89" s="19"/>
      <c r="Q89" s="19"/>
    </row>
    <row r="90" spans="1:17">
      <c r="A90" s="209" t="s">
        <v>44</v>
      </c>
      <c r="B90" s="209"/>
      <c r="C90" s="209"/>
      <c r="D90" s="518" t="e">
        <f>C69/B6</f>
        <v>#DIV/0!</v>
      </c>
      <c r="E90" s="19"/>
      <c r="F90" s="19"/>
      <c r="G90" s="19"/>
      <c r="H90" s="28"/>
      <c r="I90" s="28"/>
      <c r="J90" s="19"/>
      <c r="K90" s="19"/>
      <c r="L90" s="19"/>
      <c r="M90" s="19"/>
      <c r="N90" s="19"/>
      <c r="O90" s="19"/>
      <c r="P90" s="19"/>
      <c r="Q90" s="19"/>
    </row>
    <row r="91" spans="1:17">
      <c r="A91" s="19"/>
      <c r="B91" s="19"/>
      <c r="C91" s="19"/>
      <c r="D91" s="19"/>
      <c r="E91" s="19"/>
      <c r="F91" s="19"/>
      <c r="G91" s="19"/>
      <c r="H91" s="486"/>
      <c r="I91" s="28"/>
      <c r="J91" s="19"/>
      <c r="K91" s="19"/>
      <c r="L91" s="19"/>
      <c r="M91" s="19"/>
      <c r="N91" s="19"/>
      <c r="O91" s="19"/>
      <c r="P91" s="19"/>
      <c r="Q91" s="19"/>
    </row>
    <row r="92" spans="1:17">
      <c r="A92" s="1086" t="e">
        <f>VLOOKUP(TRUE,A93:B94,2,FALSE)</f>
        <v>#N/A</v>
      </c>
      <c r="B92" s="1087"/>
      <c r="C92" s="1087"/>
      <c r="D92" s="1087"/>
      <c r="E92" s="1087"/>
      <c r="F92" s="1087"/>
      <c r="G92" s="1087"/>
      <c r="H92" s="1088"/>
      <c r="I92" s="28"/>
      <c r="J92" s="19"/>
      <c r="K92" s="19"/>
      <c r="L92" s="19"/>
      <c r="M92" s="19"/>
      <c r="N92" s="19"/>
      <c r="O92" s="19"/>
      <c r="P92" s="19"/>
      <c r="Q92" s="19"/>
    </row>
    <row r="93" spans="1:17">
      <c r="A93" s="150" t="b">
        <f>IF(C69&gt;0,TRUE,FALSE)</f>
        <v>0</v>
      </c>
      <c r="B93" s="1099" t="e">
        <f>"Pour 100 € de chiffre d'affaires réalisé, l'entreprise génère "&amp;ROUND(D90*100,2)&amp;" € de bénéfice."</f>
        <v>#DIV/0!</v>
      </c>
      <c r="C93" s="1100"/>
      <c r="D93" s="1100"/>
      <c r="E93" s="1100"/>
      <c r="F93" s="1100"/>
      <c r="G93" s="1100"/>
      <c r="H93" s="1101"/>
      <c r="I93" s="28"/>
      <c r="J93" s="19"/>
      <c r="K93" s="19"/>
      <c r="L93" s="19"/>
      <c r="M93" s="19"/>
      <c r="N93" s="19"/>
      <c r="O93" s="19"/>
      <c r="P93" s="19"/>
      <c r="Q93" s="19"/>
    </row>
    <row r="94" spans="1:17">
      <c r="A94" s="359" t="b">
        <f>IF(C69&lt;0,TRUE,FALSE)</f>
        <v>0</v>
      </c>
      <c r="B94" s="1099" t="e">
        <f>"Pour 100 € de chiffre d'affaires réalisé, l'entreprise génère "&amp;ROUND(D90*100,2)&amp;" € de perte."</f>
        <v>#DIV/0!</v>
      </c>
      <c r="C94" s="1100"/>
      <c r="D94" s="1100"/>
      <c r="E94" s="1100"/>
      <c r="F94" s="1100"/>
      <c r="G94" s="1100"/>
      <c r="H94" s="1101"/>
      <c r="I94" s="28"/>
      <c r="J94" s="19"/>
      <c r="K94" s="19"/>
      <c r="L94" s="19"/>
      <c r="M94" s="19"/>
      <c r="N94" s="19"/>
      <c r="O94" s="19"/>
      <c r="P94" s="19"/>
      <c r="Q94" s="19"/>
    </row>
    <row r="95" spans="1:17">
      <c r="A95" s="19"/>
      <c r="B95" s="19"/>
      <c r="C95" s="19"/>
      <c r="D95" s="19"/>
      <c r="E95" s="19"/>
      <c r="F95" s="19"/>
      <c r="G95" s="19"/>
      <c r="H95" s="19"/>
      <c r="I95" s="28"/>
      <c r="J95" s="19"/>
      <c r="K95" s="19"/>
      <c r="L95" s="19"/>
      <c r="M95" s="19"/>
      <c r="N95" s="19"/>
      <c r="O95" s="19"/>
      <c r="P95" s="19"/>
      <c r="Q95" s="19"/>
    </row>
    <row r="96" spans="1:17">
      <c r="A96" s="209" t="s">
        <v>98</v>
      </c>
      <c r="B96" s="172"/>
      <c r="C96" s="518">
        <f>IFERROR(B97/B98,0)</f>
        <v>0</v>
      </c>
      <c r="D96" s="19" t="s">
        <v>55</v>
      </c>
      <c r="E96" s="512">
        <f>VLOOKUP(TRUE,E97:F99,2,FALSE)</f>
        <v>0</v>
      </c>
      <c r="F96" s="28"/>
      <c r="G96" s="28"/>
      <c r="H96" s="28"/>
      <c r="I96" s="28"/>
      <c r="J96" s="28"/>
      <c r="K96" s="19"/>
      <c r="L96" s="19"/>
      <c r="M96" s="19"/>
      <c r="N96" s="19"/>
      <c r="O96" s="19"/>
      <c r="P96" s="19"/>
      <c r="Q96" s="19"/>
    </row>
    <row r="97" spans="1:17">
      <c r="A97" s="141" t="s">
        <v>48</v>
      </c>
      <c r="B97" s="141">
        <f>'BO AF'!C70</f>
        <v>0</v>
      </c>
      <c r="C97" s="19"/>
      <c r="D97" s="19"/>
      <c r="E97" s="150" t="b">
        <f>IF(C96&lt;0%,TRUE,FALSE)</f>
        <v>0</v>
      </c>
      <c r="F97" s="150">
        <v>-1</v>
      </c>
      <c r="G97" s="855" t="s">
        <v>114</v>
      </c>
      <c r="H97" s="855"/>
      <c r="I97" s="28"/>
      <c r="J97" s="28"/>
      <c r="K97" s="19"/>
      <c r="L97" s="19"/>
      <c r="M97" s="19"/>
      <c r="N97" s="19"/>
      <c r="O97" s="19"/>
      <c r="P97" s="19"/>
      <c r="Q97" s="19"/>
    </row>
    <row r="98" spans="1:17">
      <c r="A98" s="141" t="s">
        <v>49</v>
      </c>
      <c r="B98" s="141">
        <f>B99+B108</f>
        <v>0</v>
      </c>
      <c r="C98" s="19"/>
      <c r="D98" s="19"/>
      <c r="E98" s="141" t="b">
        <f>IF(AND(E97=FALSE,E99=FALSE),TRUE,FALSE)</f>
        <v>1</v>
      </c>
      <c r="F98" s="141">
        <v>0</v>
      </c>
      <c r="G98" s="822" t="s">
        <v>116</v>
      </c>
      <c r="H98" s="822"/>
      <c r="I98" s="28"/>
      <c r="J98" s="28"/>
      <c r="K98" s="19"/>
      <c r="L98" s="19"/>
      <c r="M98" s="19"/>
      <c r="N98" s="19"/>
      <c r="O98" s="19"/>
      <c r="P98" s="19"/>
      <c r="Q98" s="19"/>
    </row>
    <row r="99" spans="1:17">
      <c r="A99" s="141" t="s">
        <v>54</v>
      </c>
      <c r="B99" s="141">
        <f>IF(ISBLANK(AFin!C87),AFin!F87+AFin!G87+AFin!H87+AFin!F89-AFin!G89,AFin!C87)</f>
        <v>0</v>
      </c>
      <c r="C99" s="19"/>
      <c r="D99" s="19"/>
      <c r="E99" s="141" t="b">
        <f>IF(C96&gt;5%,TRUE,FALSE)</f>
        <v>0</v>
      </c>
      <c r="F99" s="141">
        <v>1</v>
      </c>
      <c r="G99" s="822" t="s">
        <v>115</v>
      </c>
      <c r="H99" s="822"/>
      <c r="I99" s="19"/>
      <c r="J99" s="19"/>
      <c r="K99" s="19"/>
      <c r="L99" s="19"/>
      <c r="M99" s="19"/>
      <c r="N99" s="19"/>
      <c r="O99" s="19"/>
      <c r="P99" s="19"/>
      <c r="Q99" s="19"/>
    </row>
    <row r="100" spans="1:17">
      <c r="A100" s="19"/>
      <c r="B100" s="19"/>
      <c r="C100" s="19"/>
      <c r="D100" s="19"/>
      <c r="H100" s="19"/>
      <c r="I100" s="19"/>
      <c r="J100" s="19"/>
      <c r="K100" s="19"/>
      <c r="L100" s="19"/>
      <c r="M100" s="19"/>
      <c r="N100" s="19"/>
      <c r="O100" s="19"/>
      <c r="P100" s="19"/>
      <c r="Q100" s="19"/>
    </row>
    <row r="101" spans="1:17">
      <c r="A101" s="1076" t="e">
        <f>VLOOKUP(TRUE,A102:B103,2,FALSE)</f>
        <v>#N/A</v>
      </c>
      <c r="B101" s="1076"/>
      <c r="C101" s="1076"/>
      <c r="D101" s="1076"/>
      <c r="E101" s="1076"/>
      <c r="F101" s="1076"/>
      <c r="G101" s="1076"/>
      <c r="H101" s="1076"/>
      <c r="I101" s="19"/>
      <c r="J101" s="19"/>
      <c r="K101" s="19"/>
      <c r="L101" s="19"/>
      <c r="M101" s="19"/>
      <c r="N101" s="19"/>
      <c r="O101" s="19"/>
      <c r="P101" s="19"/>
      <c r="Q101" s="19"/>
    </row>
    <row r="102" spans="1:17">
      <c r="A102" s="141" t="b">
        <f>IF(C96&gt;0,TRUE,FALSE)</f>
        <v>0</v>
      </c>
      <c r="B102" s="1080" t="str">
        <f>"100 € d'immobilisations permettent de créer un bénéfice de "&amp;ROUND(C96,4)*100&amp;" €."</f>
        <v>100 € d'immobilisations permettent de créer un bénéfice de 0 €.</v>
      </c>
      <c r="C102" s="1080"/>
      <c r="D102" s="1080"/>
      <c r="E102" s="1080"/>
      <c r="F102" s="1080"/>
      <c r="G102" s="1080"/>
      <c r="H102" s="1080"/>
      <c r="I102" s="19"/>
      <c r="J102" s="19"/>
      <c r="K102" s="19"/>
      <c r="L102" s="19"/>
      <c r="M102" s="19"/>
      <c r="N102" s="19"/>
      <c r="O102" s="19"/>
      <c r="P102" s="19"/>
      <c r="Q102" s="19"/>
    </row>
    <row r="103" spans="1:17">
      <c r="A103" s="141" t="b">
        <f>IF(C96&lt;0,TRUE,FALSE)</f>
        <v>0</v>
      </c>
      <c r="B103" s="1080" t="s">
        <v>565</v>
      </c>
      <c r="C103" s="1080"/>
      <c r="D103" s="1080"/>
      <c r="E103" s="1080"/>
      <c r="F103" s="1080"/>
      <c r="G103" s="1080"/>
      <c r="H103" s="1080"/>
      <c r="I103" s="19"/>
      <c r="J103" s="19"/>
      <c r="K103" s="19"/>
      <c r="L103" s="19"/>
      <c r="M103" s="19"/>
      <c r="N103" s="19"/>
      <c r="O103" s="19"/>
      <c r="P103" s="19"/>
      <c r="Q103" s="19"/>
    </row>
    <row r="104" spans="1:17">
      <c r="A104" s="19"/>
      <c r="B104" s="19"/>
      <c r="C104" s="19"/>
      <c r="D104" s="19"/>
      <c r="E104" s="19"/>
      <c r="F104" s="19"/>
      <c r="G104" s="19"/>
      <c r="H104" s="19"/>
      <c r="I104" s="19"/>
      <c r="J104" s="19"/>
      <c r="K104" s="19"/>
      <c r="L104" s="19"/>
      <c r="M104" s="19"/>
      <c r="N104" s="19"/>
      <c r="O104" s="19"/>
      <c r="P104" s="19"/>
      <c r="Q104" s="19"/>
    </row>
    <row r="105" spans="1:17">
      <c r="A105" s="209" t="s">
        <v>99</v>
      </c>
      <c r="B105" s="209"/>
      <c r="C105" s="518">
        <f>IFERROR(B106/B108,0)</f>
        <v>0</v>
      </c>
      <c r="D105" s="19" t="s">
        <v>56</v>
      </c>
      <c r="E105" s="513">
        <f>VLOOKUP(TRUE,E106:F108,2,FALSE)</f>
        <v>0</v>
      </c>
      <c r="F105" s="28" t="str">
        <f>IF(B108&lt;0.5*B109,"Les capitaux propres sont inférieurs à la moitié du capital social. La loi impose le respect d’une procédure d’avertissement des tiers et de reconstitution des fonds propres.","")</f>
        <v/>
      </c>
      <c r="G105" s="28"/>
      <c r="H105" s="28"/>
      <c r="I105" s="19"/>
      <c r="J105" s="19"/>
      <c r="K105" s="19"/>
      <c r="L105" s="19"/>
      <c r="M105" s="19"/>
      <c r="N105" s="19"/>
      <c r="O105" s="19"/>
      <c r="P105" s="19"/>
      <c r="Q105" s="19"/>
    </row>
    <row r="106" spans="1:17">
      <c r="A106" s="141" t="s">
        <v>50</v>
      </c>
      <c r="B106" s="141">
        <f>B97-B107</f>
        <v>0</v>
      </c>
      <c r="C106" s="19"/>
      <c r="D106" s="19"/>
      <c r="E106" s="150" t="b">
        <f>IF(C105&lt;0%,TRUE,FALSE)</f>
        <v>0</v>
      </c>
      <c r="F106" s="150">
        <v>-1</v>
      </c>
      <c r="G106" s="405" t="s">
        <v>114</v>
      </c>
      <c r="H106" s="405"/>
      <c r="I106" s="28"/>
      <c r="J106" s="28"/>
      <c r="K106" s="28"/>
      <c r="L106" s="19"/>
      <c r="M106" s="19"/>
      <c r="N106" s="19"/>
      <c r="O106" s="19"/>
      <c r="P106" s="19"/>
      <c r="Q106" s="19"/>
    </row>
    <row r="107" spans="1:17">
      <c r="A107" s="141" t="s">
        <v>16</v>
      </c>
      <c r="B107" s="141">
        <f>IF(ISBLANK(AFin!C36),AFin!F36,AFin!C36)</f>
        <v>0</v>
      </c>
      <c r="C107" s="19"/>
      <c r="D107" s="19"/>
      <c r="E107" s="150" t="b">
        <f>IF(AND(E106=FALSE,E108=FALSE),TRUE,FALSE)</f>
        <v>1</v>
      </c>
      <c r="F107" s="150">
        <v>0</v>
      </c>
      <c r="G107" s="405" t="s">
        <v>116</v>
      </c>
      <c r="H107" s="405"/>
      <c r="I107" s="28"/>
      <c r="J107" s="28"/>
      <c r="K107" s="28"/>
      <c r="L107" s="19"/>
      <c r="M107" s="19"/>
      <c r="N107" s="19"/>
      <c r="O107" s="19"/>
      <c r="P107" s="19"/>
      <c r="Q107" s="19"/>
    </row>
    <row r="108" spans="1:17">
      <c r="A108" s="141" t="s">
        <v>51</v>
      </c>
      <c r="B108" s="141">
        <f>IF(ISBLANK(AFin!C83),AFin!F83+AFin!G83+AFin!F79,AFin!C83)</f>
        <v>0</v>
      </c>
      <c r="C108" s="19"/>
      <c r="D108" s="19"/>
      <c r="E108" s="141" t="b">
        <f>IF(C105&gt;5%,TRUE,FALSE)</f>
        <v>0</v>
      </c>
      <c r="F108" s="141">
        <v>1</v>
      </c>
      <c r="G108" s="822" t="s">
        <v>115</v>
      </c>
      <c r="H108" s="822"/>
      <c r="I108" s="28"/>
      <c r="J108" s="28"/>
      <c r="K108" s="28"/>
      <c r="L108" s="19"/>
      <c r="M108" s="19"/>
      <c r="N108" s="19"/>
      <c r="O108" s="19"/>
      <c r="P108" s="19"/>
      <c r="Q108" s="19"/>
    </row>
    <row r="109" spans="1:17">
      <c r="A109" s="141" t="s">
        <v>165</v>
      </c>
      <c r="B109" s="141">
        <f>IF(ISBLANK(AFin!C81),AFin!F81,AFin!C81)</f>
        <v>0</v>
      </c>
      <c r="C109" s="19"/>
      <c r="D109" s="19"/>
      <c r="I109" s="28"/>
      <c r="J109" s="28"/>
      <c r="K109" s="28"/>
      <c r="L109" s="19"/>
      <c r="M109" s="19"/>
      <c r="N109" s="19"/>
      <c r="O109" s="19"/>
      <c r="P109" s="19"/>
      <c r="Q109" s="19"/>
    </row>
    <row r="110" spans="1:17">
      <c r="A110" s="17"/>
      <c r="B110" s="17"/>
      <c r="C110" s="19"/>
      <c r="D110" s="19"/>
      <c r="E110" s="19"/>
      <c r="F110" s="19"/>
      <c r="G110" s="19"/>
      <c r="H110" s="19"/>
      <c r="I110" s="19"/>
      <c r="J110" s="19"/>
      <c r="K110" s="19"/>
      <c r="L110" s="19"/>
      <c r="M110" s="19"/>
      <c r="N110" s="19"/>
      <c r="O110" s="19"/>
      <c r="P110" s="19"/>
      <c r="Q110" s="19"/>
    </row>
    <row r="111" spans="1:17">
      <c r="A111" s="1119" t="e">
        <f>VLOOKUP(TRUE,A112:H113,2,FALSE)</f>
        <v>#N/A</v>
      </c>
      <c r="B111" s="1120"/>
      <c r="C111" s="1120"/>
      <c r="D111" s="1120"/>
      <c r="E111" s="1120"/>
      <c r="F111" s="1120"/>
      <c r="G111" s="1120"/>
      <c r="H111" s="1121"/>
      <c r="I111" s="19"/>
      <c r="J111" s="19"/>
      <c r="K111" s="19"/>
      <c r="L111" s="19"/>
      <c r="M111" s="19"/>
      <c r="N111" s="19"/>
      <c r="O111" s="19"/>
      <c r="P111" s="19"/>
      <c r="Q111" s="19"/>
    </row>
    <row r="112" spans="1:17" ht="15" customHeight="1">
      <c r="A112" s="141" t="b">
        <f>IF(C105&gt;0,TRUE,FALSE)</f>
        <v>0</v>
      </c>
      <c r="B112" s="1113" t="str">
        <f>"100 € financés par les apporteurs de capitaux propres permettent de créer un bénéfice de "&amp;ROUND(C105,4)*100&amp;" €."</f>
        <v>100 € financés par les apporteurs de capitaux propres permettent de créer un bénéfice de 0 €.</v>
      </c>
      <c r="C112" s="1114"/>
      <c r="D112" s="1114"/>
      <c r="E112" s="1114"/>
      <c r="F112" s="1114"/>
      <c r="G112" s="1114"/>
      <c r="H112" s="1115"/>
      <c r="I112" s="19"/>
      <c r="J112" s="19"/>
      <c r="K112" s="19"/>
      <c r="L112" s="19"/>
      <c r="M112" s="19"/>
      <c r="N112" s="19"/>
      <c r="O112" s="19"/>
      <c r="P112" s="19"/>
      <c r="Q112" s="19"/>
    </row>
    <row r="113" spans="1:17" ht="15" customHeight="1">
      <c r="A113" s="141" t="b">
        <f>IF(C105&lt;0,TRUE,FALSE)</f>
        <v>0</v>
      </c>
      <c r="B113" s="1116" t="s">
        <v>566</v>
      </c>
      <c r="C113" s="1117"/>
      <c r="D113" s="1117"/>
      <c r="E113" s="1117"/>
      <c r="F113" s="1117"/>
      <c r="G113" s="1117"/>
      <c r="H113" s="1118"/>
      <c r="I113" s="19"/>
      <c r="J113" s="19"/>
      <c r="K113" s="19"/>
      <c r="L113" s="19"/>
      <c r="M113" s="19"/>
      <c r="N113" s="19"/>
      <c r="O113" s="19"/>
      <c r="P113" s="19"/>
      <c r="Q113" s="19"/>
    </row>
    <row r="114" spans="1:17" ht="15" customHeight="1">
      <c r="A114" s="17"/>
      <c r="B114" s="418"/>
      <c r="C114" s="418"/>
      <c r="D114" s="418"/>
      <c r="E114" s="418"/>
      <c r="F114" s="418"/>
      <c r="G114" s="418"/>
      <c r="H114" s="418"/>
      <c r="I114" s="19"/>
      <c r="J114" s="19"/>
      <c r="K114" s="19"/>
      <c r="L114" s="19"/>
      <c r="M114" s="19"/>
      <c r="N114" s="19"/>
      <c r="O114" s="19"/>
      <c r="P114" s="19"/>
      <c r="Q114" s="19"/>
    </row>
    <row r="115" spans="1:17" ht="15" customHeight="1">
      <c r="A115" s="1085" t="e">
        <f>VLOOKUP(TRUE,A117:H119,2,FALSE)</f>
        <v>#N/A</v>
      </c>
      <c r="B115" s="1085"/>
      <c r="C115" s="1085"/>
      <c r="D115" s="1085"/>
      <c r="E115" s="1085"/>
      <c r="F115" s="1085"/>
      <c r="G115" s="1085"/>
      <c r="H115" s="1085"/>
      <c r="I115" s="19"/>
      <c r="J115" s="19"/>
      <c r="K115" s="19"/>
      <c r="L115" s="19"/>
      <c r="M115" s="19"/>
      <c r="N115" s="19"/>
      <c r="O115" s="19"/>
      <c r="P115" s="19"/>
      <c r="Q115" s="19"/>
    </row>
    <row r="116" spans="1:17" ht="15" customHeight="1">
      <c r="A116" s="1085"/>
      <c r="B116" s="1085"/>
      <c r="C116" s="1085"/>
      <c r="D116" s="1085"/>
      <c r="E116" s="1085"/>
      <c r="F116" s="1085"/>
      <c r="G116" s="1085"/>
      <c r="H116" s="1085"/>
      <c r="I116" s="19"/>
      <c r="J116" s="19"/>
      <c r="K116" s="19"/>
      <c r="L116" s="19"/>
      <c r="M116" s="19"/>
      <c r="N116" s="19"/>
      <c r="O116" s="19"/>
      <c r="P116" s="19"/>
      <c r="Q116" s="19"/>
    </row>
    <row r="117" spans="1:17" ht="15" customHeight="1">
      <c r="A117" s="340" t="b">
        <f>IF(B108&lt;0.5*B109,TRUE,FALSE)</f>
        <v>0</v>
      </c>
      <c r="B117" s="1080" t="s">
        <v>567</v>
      </c>
      <c r="C117" s="1080"/>
      <c r="D117" s="1080"/>
      <c r="E117" s="1080"/>
      <c r="F117" s="1080"/>
      <c r="G117" s="1080"/>
      <c r="H117" s="1080"/>
      <c r="I117" s="19"/>
      <c r="J117" s="19"/>
      <c r="K117" s="19"/>
      <c r="L117" s="19"/>
      <c r="M117" s="19"/>
      <c r="N117" s="19"/>
      <c r="O117" s="19"/>
      <c r="P117" s="19"/>
      <c r="Q117" s="19"/>
    </row>
    <row r="118" spans="1:17" ht="15" customHeight="1">
      <c r="A118" s="341"/>
      <c r="B118" s="1080"/>
      <c r="C118" s="1080"/>
      <c r="D118" s="1080"/>
      <c r="E118" s="1080"/>
      <c r="F118" s="1080"/>
      <c r="G118" s="1080"/>
      <c r="H118" s="1080"/>
      <c r="I118" s="19"/>
      <c r="J118" s="19"/>
      <c r="K118" s="19"/>
      <c r="L118" s="19"/>
      <c r="M118" s="19"/>
      <c r="N118" s="19"/>
      <c r="O118" s="19"/>
      <c r="P118" s="19"/>
      <c r="Q118" s="19"/>
    </row>
    <row r="119" spans="1:17" ht="15" customHeight="1">
      <c r="A119" s="141" t="b">
        <f>IF(B108&gt;0.5*B109,TRUE,FALSE)</f>
        <v>0</v>
      </c>
      <c r="B119" s="1080"/>
      <c r="C119" s="1080"/>
      <c r="D119" s="1080"/>
      <c r="E119" s="1080"/>
      <c r="F119" s="1080"/>
      <c r="G119" s="1080"/>
      <c r="H119" s="1080"/>
      <c r="I119" s="19"/>
      <c r="J119" s="19"/>
      <c r="K119" s="19"/>
      <c r="L119" s="19"/>
      <c r="M119" s="19"/>
      <c r="N119" s="19"/>
      <c r="O119" s="19"/>
      <c r="P119" s="19"/>
      <c r="Q119" s="19"/>
    </row>
    <row r="120" spans="1:17" ht="15" customHeight="1">
      <c r="A120" s="17"/>
      <c r="B120" s="17"/>
      <c r="C120" s="19"/>
      <c r="D120" s="19"/>
      <c r="E120" s="19"/>
      <c r="F120" s="19"/>
      <c r="G120" s="19"/>
      <c r="H120" s="19"/>
      <c r="I120" s="19"/>
      <c r="J120" s="19"/>
      <c r="K120" s="19"/>
      <c r="L120" s="19"/>
      <c r="M120" s="19"/>
      <c r="N120" s="19"/>
      <c r="O120" s="19"/>
      <c r="P120" s="19"/>
      <c r="Q120" s="19"/>
    </row>
    <row r="121" spans="1:17">
      <c r="A121" s="209" t="s">
        <v>52</v>
      </c>
      <c r="B121" s="209"/>
      <c r="C121" s="515" t="str">
        <f>IF(C96&gt;B122,"Positif","Négatif")</f>
        <v>Négatif</v>
      </c>
      <c r="D121" s="19"/>
      <c r="E121" s="516"/>
      <c r="F121" s="28"/>
      <c r="G121" s="28"/>
      <c r="H121" s="28"/>
      <c r="I121" s="19"/>
      <c r="J121" s="19"/>
      <c r="K121" s="19"/>
      <c r="L121" s="19"/>
      <c r="M121" s="19"/>
      <c r="N121" s="19"/>
      <c r="O121" s="19"/>
      <c r="P121" s="19"/>
      <c r="Q121" s="19"/>
    </row>
    <row r="122" spans="1:17">
      <c r="A122" s="19" t="s">
        <v>53</v>
      </c>
      <c r="B122" s="215">
        <f>IFERROR(B107/B123,0)</f>
        <v>0</v>
      </c>
      <c r="C122" s="19"/>
      <c r="D122" s="19"/>
      <c r="E122" s="28"/>
      <c r="F122" s="28"/>
      <c r="G122" s="912"/>
      <c r="H122" s="912"/>
      <c r="I122" s="19"/>
      <c r="J122" s="19"/>
      <c r="K122" s="19"/>
      <c r="L122" s="19"/>
      <c r="M122" s="19"/>
      <c r="N122" s="19"/>
      <c r="O122" s="19"/>
      <c r="P122" s="19"/>
      <c r="Q122" s="19"/>
    </row>
    <row r="123" spans="1:17">
      <c r="A123" s="19" t="s">
        <v>54</v>
      </c>
      <c r="B123" s="19">
        <f>B99</f>
        <v>0</v>
      </c>
      <c r="C123" s="19"/>
      <c r="D123" s="19"/>
      <c r="E123" s="28"/>
      <c r="F123" s="28"/>
      <c r="G123" s="912"/>
      <c r="H123" s="912"/>
      <c r="I123" s="19"/>
      <c r="J123" s="19"/>
      <c r="K123" s="19"/>
      <c r="L123" s="19"/>
      <c r="M123" s="19"/>
      <c r="N123" s="19"/>
      <c r="O123" s="19"/>
      <c r="P123" s="19"/>
      <c r="Q123" s="19"/>
    </row>
    <row r="124" spans="1:17">
      <c r="A124" s="19"/>
      <c r="B124" s="19"/>
      <c r="C124" s="19"/>
      <c r="D124" s="19"/>
      <c r="E124" s="19"/>
      <c r="F124" s="19"/>
      <c r="G124" s="19"/>
      <c r="H124" s="19"/>
      <c r="I124" s="19"/>
      <c r="J124" s="19"/>
      <c r="K124" s="19"/>
      <c r="L124" s="19"/>
      <c r="M124" s="19"/>
      <c r="N124" s="19"/>
      <c r="O124" s="19"/>
      <c r="P124" s="19"/>
      <c r="Q124" s="19"/>
    </row>
    <row r="125" spans="1:17">
      <c r="A125" s="1085" t="e">
        <f>VLOOKUP(TRUE,A127:H130,2,FALSE)</f>
        <v>#N/A</v>
      </c>
      <c r="B125" s="1085"/>
      <c r="C125" s="1085"/>
      <c r="D125" s="1085"/>
      <c r="E125" s="1085"/>
      <c r="F125" s="1085"/>
      <c r="G125" s="1085"/>
      <c r="H125" s="1085"/>
      <c r="I125" s="19"/>
      <c r="J125" s="19"/>
      <c r="K125" s="19"/>
      <c r="L125" s="19"/>
      <c r="M125" s="19"/>
      <c r="N125" s="19"/>
      <c r="O125" s="19"/>
      <c r="P125" s="19"/>
      <c r="Q125" s="19"/>
    </row>
    <row r="126" spans="1:17">
      <c r="A126" s="1085"/>
      <c r="B126" s="1085"/>
      <c r="C126" s="1085"/>
      <c r="D126" s="1085"/>
      <c r="E126" s="1085"/>
      <c r="F126" s="1085"/>
      <c r="G126" s="1085"/>
      <c r="H126" s="1085"/>
      <c r="I126" s="19"/>
      <c r="J126" s="19"/>
      <c r="K126" s="19"/>
      <c r="L126" s="19"/>
      <c r="M126" s="19"/>
      <c r="N126" s="19"/>
      <c r="O126" s="19"/>
      <c r="P126" s="19"/>
      <c r="Q126" s="19"/>
    </row>
    <row r="127" spans="1:17">
      <c r="A127" s="340" t="b">
        <f>IF(C96&gt;B122,TRUE,FALSE)</f>
        <v>0</v>
      </c>
      <c r="B127" s="1108" t="str">
        <f>"L'effet de levier est positif : l'endettement augmente la rentabilité financière tant que le taux de rentabilité économique ("&amp;ROUND(C96,4)*100&amp;"%) est supérieur au taux d'endettement ("&amp;ROUND(B122,4)*100&amp;"%)."</f>
        <v>L'effet de levier est positif : l'endettement augmente la rentabilité financière tant que le taux de rentabilité économique (0%) est supérieur au taux d'endettement (0%).</v>
      </c>
      <c r="C127" s="1108"/>
      <c r="D127" s="1108"/>
      <c r="E127" s="1108"/>
      <c r="F127" s="1108"/>
      <c r="G127" s="1108"/>
      <c r="H127" s="1108"/>
      <c r="I127" s="19"/>
      <c r="J127" s="19"/>
      <c r="K127" s="19"/>
      <c r="L127" s="19"/>
      <c r="M127" s="19"/>
      <c r="N127" s="19"/>
      <c r="O127" s="19"/>
      <c r="P127" s="19"/>
      <c r="Q127" s="19"/>
    </row>
    <row r="128" spans="1:17">
      <c r="A128" s="341"/>
      <c r="B128" s="1108"/>
      <c r="C128" s="1108"/>
      <c r="D128" s="1108"/>
      <c r="E128" s="1108"/>
      <c r="F128" s="1108"/>
      <c r="G128" s="1108"/>
      <c r="H128" s="1108"/>
      <c r="I128" s="19"/>
      <c r="J128" s="19"/>
      <c r="K128" s="19"/>
      <c r="L128" s="19"/>
      <c r="M128" s="19"/>
      <c r="N128" s="19"/>
      <c r="O128" s="19"/>
      <c r="P128" s="19"/>
      <c r="Q128" s="19"/>
    </row>
    <row r="129" spans="1:17">
      <c r="A129" s="340" t="b">
        <f>IF(C96&lt;B122,TRUE,FALSE)</f>
        <v>0</v>
      </c>
      <c r="B129" s="1089" t="str">
        <f>"On constate un effet de massue car le taux de rentabilité économique ("&amp;ROUND(C96,4)*100&amp;"%) est inférieur au taux d'endettement ("&amp;ROUND(B122,4)*100&amp;"%). Ici, l'endettement diminue la rentabilité financière."</f>
        <v>On constate un effet de massue car le taux de rentabilité économique (0%) est inférieur au taux d'endettement (0%). Ici, l'endettement diminue la rentabilité financière.</v>
      </c>
      <c r="C129" s="1089"/>
      <c r="D129" s="1089"/>
      <c r="E129" s="1089"/>
      <c r="F129" s="1089"/>
      <c r="G129" s="1089"/>
      <c r="H129" s="1089"/>
      <c r="I129" s="19"/>
      <c r="J129" s="19"/>
      <c r="K129" s="19"/>
      <c r="L129" s="19"/>
      <c r="M129" s="19"/>
      <c r="N129" s="19"/>
      <c r="O129" s="19"/>
      <c r="P129" s="19"/>
      <c r="Q129" s="19"/>
    </row>
    <row r="130" spans="1:17">
      <c r="A130" s="509"/>
      <c r="B130" s="1089"/>
      <c r="C130" s="1089"/>
      <c r="D130" s="1089"/>
      <c r="E130" s="1089"/>
      <c r="F130" s="1089"/>
      <c r="G130" s="1089"/>
      <c r="H130" s="1089"/>
      <c r="I130" s="19"/>
      <c r="J130" s="19"/>
      <c r="K130" s="19"/>
      <c r="L130" s="19"/>
      <c r="M130" s="19"/>
      <c r="N130" s="19"/>
      <c r="O130" s="19"/>
      <c r="P130" s="19"/>
      <c r="Q130" s="19"/>
    </row>
    <row r="131" spans="1:17">
      <c r="A131" s="28"/>
      <c r="B131" s="28"/>
      <c r="C131" s="28"/>
      <c r="D131" s="28"/>
      <c r="E131" s="28"/>
      <c r="F131" s="28"/>
      <c r="G131" s="28"/>
      <c r="H131" s="28"/>
      <c r="I131" s="19"/>
      <c r="J131" s="19"/>
      <c r="K131" s="19"/>
      <c r="L131" s="19"/>
      <c r="M131" s="19"/>
      <c r="N131" s="19"/>
      <c r="O131" s="19"/>
      <c r="P131" s="19"/>
      <c r="Q131" s="19"/>
    </row>
    <row r="132" spans="1:17">
      <c r="A132" s="209" t="s">
        <v>141</v>
      </c>
      <c r="B132" s="209"/>
      <c r="C132" s="517">
        <f>IFERROR(C33/B97,0)</f>
        <v>0</v>
      </c>
      <c r="D132" s="19"/>
      <c r="E132" s="19"/>
      <c r="F132" s="19"/>
      <c r="G132" s="19"/>
      <c r="H132" s="19"/>
      <c r="I132" s="19"/>
      <c r="J132" s="19"/>
      <c r="K132" s="19"/>
      <c r="L132" s="19"/>
      <c r="M132" s="19"/>
      <c r="N132" s="19"/>
      <c r="O132" s="19"/>
      <c r="P132" s="19"/>
      <c r="Q132" s="19"/>
    </row>
    <row r="133" spans="1:17">
      <c r="B133" s="28"/>
      <c r="C133" s="28"/>
      <c r="D133" s="28"/>
      <c r="E133" s="28"/>
      <c r="F133" s="28"/>
      <c r="G133" s="28"/>
      <c r="H133" s="486"/>
      <c r="I133" s="28"/>
      <c r="J133" s="28"/>
      <c r="K133" s="28"/>
      <c r="L133" s="28"/>
      <c r="M133" s="28"/>
      <c r="N133" s="28"/>
      <c r="O133" s="28"/>
      <c r="P133" s="28"/>
      <c r="Q133" s="28"/>
    </row>
    <row r="134" spans="1:17">
      <c r="A134" s="520" t="str">
        <f>"Si le chiffre d'affaires baisse de 1%, alors le résultat d'exploitation diminue de "&amp;ROUND(C132,2)&amp;"%."</f>
        <v>Si le chiffre d'affaires baisse de 1%, alors le résultat d'exploitation diminue de 0%.</v>
      </c>
      <c r="B134" s="521"/>
      <c r="C134" s="521"/>
      <c r="D134" s="521"/>
      <c r="E134" s="521"/>
      <c r="F134" s="521"/>
      <c r="G134" s="522"/>
      <c r="H134" s="28"/>
      <c r="I134" s="28"/>
      <c r="J134" s="28"/>
      <c r="K134" s="28"/>
      <c r="L134" s="28"/>
      <c r="M134" s="28"/>
      <c r="N134" s="28"/>
      <c r="O134" s="28"/>
      <c r="P134" s="28"/>
      <c r="Q134" s="28"/>
    </row>
    <row r="135" spans="1:17">
      <c r="A135" s="28"/>
      <c r="B135" s="28"/>
      <c r="C135" s="28"/>
      <c r="D135" s="28"/>
      <c r="E135" s="28"/>
      <c r="F135" s="28"/>
      <c r="G135" s="28"/>
      <c r="H135" s="28"/>
      <c r="I135" s="28"/>
      <c r="J135" s="28"/>
      <c r="K135" s="28"/>
      <c r="L135" s="28"/>
      <c r="M135" s="28"/>
      <c r="N135" s="28"/>
      <c r="O135" s="28"/>
      <c r="P135" s="28"/>
      <c r="Q135" s="28"/>
    </row>
    <row r="136" spans="1:17">
      <c r="A136" s="391">
        <f>VLOOKUP(TRUE,A137:C138,2,FALSE)</f>
        <v>1</v>
      </c>
      <c r="B136" s="521" t="str">
        <f>VLOOKUP(TRUE,A137:C138,3,FALSE)</f>
        <v>Levier opérationnel faible : risque maîtrisé</v>
      </c>
      <c r="C136" s="521"/>
      <c r="D136" s="521"/>
      <c r="E136" s="521"/>
      <c r="F136" s="522"/>
      <c r="G136" s="28"/>
      <c r="H136" s="28"/>
      <c r="I136" s="28"/>
      <c r="J136" s="28"/>
      <c r="K136" s="28"/>
      <c r="L136" s="28"/>
      <c r="M136" s="28"/>
      <c r="N136" s="28"/>
      <c r="O136" s="28"/>
      <c r="P136" s="28"/>
      <c r="Q136" s="28"/>
    </row>
    <row r="137" spans="1:17">
      <c r="A137" s="150" t="b">
        <f>IF(C132&gt;=2,TRUE,FALSE)</f>
        <v>0</v>
      </c>
      <c r="B137" s="150">
        <v>-1</v>
      </c>
      <c r="C137" s="339" t="s">
        <v>152</v>
      </c>
      <c r="D137" s="523"/>
      <c r="E137" s="523"/>
      <c r="F137" s="524"/>
      <c r="G137" s="28"/>
      <c r="H137" s="28"/>
      <c r="I137" s="28"/>
      <c r="J137" s="28"/>
      <c r="K137" s="28"/>
      <c r="L137" s="28"/>
      <c r="M137" s="28"/>
      <c r="N137" s="28"/>
      <c r="O137" s="28"/>
      <c r="P137" s="28"/>
      <c r="Q137" s="28"/>
    </row>
    <row r="138" spans="1:17">
      <c r="A138" s="150" t="b">
        <f>IF(C132&lt;2,TRUE,FALSE)</f>
        <v>1</v>
      </c>
      <c r="B138" s="150">
        <v>1</v>
      </c>
      <c r="C138" s="20" t="s">
        <v>142</v>
      </c>
      <c r="D138" s="334"/>
      <c r="E138" s="334"/>
      <c r="F138" s="336"/>
      <c r="G138" s="28"/>
      <c r="H138" s="28"/>
      <c r="I138" s="28"/>
      <c r="J138" s="28"/>
      <c r="K138" s="28"/>
      <c r="L138" s="28"/>
      <c r="M138" s="28"/>
      <c r="N138" s="28"/>
      <c r="O138" s="28"/>
      <c r="P138" s="28"/>
      <c r="Q138" s="28"/>
    </row>
    <row r="139" spans="1:17">
      <c r="A139" s="28"/>
      <c r="B139" s="28"/>
      <c r="C139" s="28"/>
      <c r="D139" s="28"/>
      <c r="E139" s="28"/>
      <c r="F139" s="28"/>
      <c r="G139" s="28"/>
      <c r="H139" s="28"/>
      <c r="I139" s="28"/>
      <c r="J139" s="28"/>
      <c r="K139" s="28"/>
      <c r="L139" s="28"/>
      <c r="M139" s="28"/>
      <c r="N139" s="28"/>
      <c r="O139" s="28"/>
      <c r="P139" s="28"/>
      <c r="Q139" s="28"/>
    </row>
    <row r="140" spans="1:17">
      <c r="A140" s="209" t="s">
        <v>57</v>
      </c>
      <c r="B140" s="172"/>
      <c r="C140" s="172"/>
      <c r="D140" s="518">
        <f>IFERROR(B108/B141,0)</f>
        <v>0</v>
      </c>
      <c r="E140" s="19"/>
      <c r="H140" s="28"/>
      <c r="I140" s="19"/>
      <c r="K140" s="19"/>
      <c r="L140" s="19"/>
      <c r="M140" s="19"/>
      <c r="N140" s="19"/>
      <c r="O140" s="19"/>
      <c r="P140" s="19"/>
      <c r="Q140" s="19"/>
    </row>
    <row r="141" spans="1:17">
      <c r="A141" s="19" t="s">
        <v>58</v>
      </c>
      <c r="B141" s="19">
        <f>IF(ISBLANK(AFin!C101),AFin!F101,AFin!C101)</f>
        <v>0</v>
      </c>
      <c r="C141" s="19"/>
      <c r="D141" s="19"/>
      <c r="E141" s="19"/>
      <c r="H141" s="28"/>
      <c r="I141" s="19"/>
      <c r="K141" s="19"/>
      <c r="L141" s="19"/>
      <c r="M141" s="19"/>
      <c r="N141" s="19"/>
      <c r="O141" s="19"/>
      <c r="P141" s="19"/>
      <c r="Q141" s="19"/>
    </row>
    <row r="142" spans="1:17">
      <c r="A142" s="19"/>
      <c r="B142" s="19"/>
      <c r="C142" s="19"/>
      <c r="D142" s="19"/>
      <c r="E142" s="19"/>
      <c r="H142" s="19"/>
      <c r="I142" s="19"/>
      <c r="J142" s="19"/>
      <c r="K142" s="19"/>
      <c r="L142" s="19"/>
      <c r="M142" s="19"/>
      <c r="N142" s="19"/>
      <c r="O142" s="19"/>
      <c r="P142" s="19"/>
      <c r="Q142" s="19"/>
    </row>
    <row r="143" spans="1:17">
      <c r="A143" s="1076" t="str">
        <f>VLOOKUP(TRUE,A145:B149,2,FALSE)</f>
        <v>Le ratio est inférieur à 25%. L'entreprise est trop endettée : les dettes sont trop importantes par rapport aux capitaux propres. Logiquement, l'entreprise ne peut plus faire appel aux banques pour financer son projet.</v>
      </c>
      <c r="B143" s="1076"/>
      <c r="C143" s="1076"/>
      <c r="D143" s="1076"/>
      <c r="E143" s="1076"/>
      <c r="F143" s="1076"/>
      <c r="G143" s="1076"/>
      <c r="H143" s="1076"/>
      <c r="I143" s="19"/>
      <c r="J143" s="19"/>
      <c r="K143" s="19"/>
      <c r="L143" s="19"/>
      <c r="M143" s="19"/>
      <c r="N143" s="19"/>
      <c r="O143" s="19"/>
      <c r="P143" s="19"/>
      <c r="Q143" s="19"/>
    </row>
    <row r="144" spans="1:17">
      <c r="A144" s="1076"/>
      <c r="B144" s="1076"/>
      <c r="C144" s="1076"/>
      <c r="D144" s="1076"/>
      <c r="E144" s="1076"/>
      <c r="F144" s="1076"/>
      <c r="G144" s="1076"/>
      <c r="H144" s="1076"/>
      <c r="I144" s="19"/>
      <c r="J144" s="19"/>
      <c r="K144" s="19"/>
      <c r="L144" s="19"/>
      <c r="M144" s="19"/>
      <c r="N144" s="19"/>
      <c r="O144" s="19"/>
      <c r="P144" s="19"/>
      <c r="Q144" s="19"/>
    </row>
    <row r="145" spans="1:20">
      <c r="A145" s="526" t="b">
        <f>IF(OR(D140=60%,D140&gt;60%),TRUE,FALSE)</f>
        <v>0</v>
      </c>
      <c r="B145" s="1083" t="str">
        <f>"Très bonne autonomie financière. Les capitaux propres représentent "&amp;ROUND(D140,4)*100&amp;"% des ressources stables. En théorie, tant que le ratio n'est pas inférieur à 25%, l'entreprise peut encore s'endetter."</f>
        <v>Très bonne autonomie financière. Les capitaux propres représentent 0% des ressources stables. En théorie, tant que le ratio n'est pas inférieur à 25%, l'entreprise peut encore s'endetter.</v>
      </c>
      <c r="C145" s="1083"/>
      <c r="D145" s="1083"/>
      <c r="E145" s="1083"/>
      <c r="F145" s="1083"/>
      <c r="G145" s="1083"/>
      <c r="H145" s="1083"/>
      <c r="I145" s="19"/>
      <c r="J145" s="19"/>
      <c r="K145" s="19"/>
      <c r="L145" s="19"/>
      <c r="M145" s="19"/>
      <c r="N145" s="19"/>
      <c r="O145" s="19"/>
      <c r="P145" s="19"/>
      <c r="Q145" s="19"/>
    </row>
    <row r="146" spans="1:20">
      <c r="A146" s="234" t="s">
        <v>568</v>
      </c>
      <c r="B146" s="1080"/>
      <c r="C146" s="1080"/>
      <c r="D146" s="1080"/>
      <c r="E146" s="1080"/>
      <c r="F146" s="1080"/>
      <c r="G146" s="1080"/>
      <c r="H146" s="1080"/>
      <c r="I146" s="19"/>
      <c r="J146" s="19"/>
      <c r="K146" s="19"/>
      <c r="L146" s="19"/>
      <c r="M146" s="19"/>
      <c r="N146" s="19"/>
      <c r="O146" s="19"/>
      <c r="P146" s="19"/>
      <c r="Q146" s="19"/>
    </row>
    <row r="147" spans="1:20">
      <c r="A147" s="526" t="b">
        <f>IF(AND(A145=FALSE,A149=FALSE),TRUE,FALSE)</f>
        <v>0</v>
      </c>
      <c r="B147" s="1080" t="str">
        <f>"Bonne autonomie financière. Les capitaux propres représentent "&amp;ROUND(D140,4)*100&amp;"% des ressources stables. En théorie, tant que le ratio n'est pas inférieur à 25%, l'entreprise peut encore s'endetter."</f>
        <v>Bonne autonomie financière. Les capitaux propres représentent 0% des ressources stables. En théorie, tant que le ratio n'est pas inférieur à 25%, l'entreprise peut encore s'endetter.</v>
      </c>
      <c r="C147" s="1080"/>
      <c r="D147" s="1080"/>
      <c r="E147" s="1080"/>
      <c r="F147" s="1080"/>
      <c r="G147" s="1080"/>
      <c r="H147" s="1080"/>
      <c r="I147" s="19"/>
      <c r="J147" s="19"/>
      <c r="K147" s="19"/>
      <c r="L147" s="19"/>
      <c r="M147" s="19"/>
      <c r="N147" s="19"/>
      <c r="O147" s="19"/>
      <c r="P147" s="19"/>
      <c r="Q147" s="19"/>
    </row>
    <row r="148" spans="1:20">
      <c r="A148" s="503" t="s">
        <v>570</v>
      </c>
      <c r="B148" s="1080"/>
      <c r="C148" s="1080"/>
      <c r="D148" s="1080"/>
      <c r="E148" s="1080"/>
      <c r="F148" s="1080"/>
      <c r="G148" s="1080"/>
      <c r="H148" s="1080"/>
      <c r="I148" s="19"/>
      <c r="J148" s="19"/>
      <c r="K148" s="19"/>
      <c r="L148" s="19"/>
      <c r="M148" s="19"/>
      <c r="N148" s="19"/>
      <c r="O148" s="19"/>
      <c r="P148" s="19"/>
      <c r="Q148" s="19"/>
    </row>
    <row r="149" spans="1:20" ht="15" customHeight="1">
      <c r="A149" s="526" t="b">
        <f>IF(D140&lt;25%,TRUE,FALSE)</f>
        <v>1</v>
      </c>
      <c r="B149" s="1080" t="str">
        <f>"Le ratio est inférieur à 25%. L'entreprise est trop endettée : les dettes sont trop importantes par rapport aux capitaux propres. Logiquement, l'entreprise ne peut plus faire appel aux banques pour financer son projet."</f>
        <v>Le ratio est inférieur à 25%. L'entreprise est trop endettée : les dettes sont trop importantes par rapport aux capitaux propres. Logiquement, l'entreprise ne peut plus faire appel aux banques pour financer son projet.</v>
      </c>
      <c r="C149" s="1080"/>
      <c r="D149" s="1080"/>
      <c r="E149" s="1080"/>
      <c r="F149" s="1080"/>
      <c r="G149" s="1080"/>
      <c r="H149" s="1080"/>
      <c r="I149" s="19"/>
      <c r="J149" s="19"/>
      <c r="K149" s="19"/>
      <c r="L149" s="19"/>
      <c r="M149" s="19"/>
      <c r="N149" s="19"/>
      <c r="O149" s="19"/>
      <c r="P149" s="19"/>
      <c r="Q149" s="19"/>
    </row>
    <row r="150" spans="1:20">
      <c r="A150" s="527" t="s">
        <v>569</v>
      </c>
      <c r="B150" s="1080"/>
      <c r="C150" s="1080"/>
      <c r="D150" s="1080"/>
      <c r="E150" s="1080"/>
      <c r="F150" s="1080"/>
      <c r="G150" s="1080"/>
      <c r="H150" s="1080"/>
      <c r="I150" s="19"/>
      <c r="J150" s="19"/>
      <c r="K150" s="19"/>
      <c r="L150" s="19"/>
      <c r="M150" s="19"/>
      <c r="N150" s="19"/>
      <c r="O150" s="19"/>
      <c r="P150" s="19"/>
      <c r="Q150" s="19"/>
    </row>
    <row r="151" spans="1:20">
      <c r="A151" s="341"/>
      <c r="B151" s="1080"/>
      <c r="C151" s="1080"/>
      <c r="D151" s="1080"/>
      <c r="E151" s="1080"/>
      <c r="F151" s="1080"/>
      <c r="G151" s="1080"/>
      <c r="H151" s="1080"/>
      <c r="I151" s="19"/>
      <c r="J151" s="19"/>
      <c r="K151" s="19"/>
      <c r="L151" s="19"/>
      <c r="M151" s="19"/>
      <c r="N151" s="19"/>
      <c r="O151" s="19"/>
      <c r="P151" s="19"/>
      <c r="Q151" s="19"/>
    </row>
    <row r="152" spans="1:20">
      <c r="A152" s="19"/>
      <c r="B152" s="19"/>
      <c r="C152" s="19"/>
      <c r="D152" s="19"/>
      <c r="E152" s="19"/>
      <c r="F152" s="19"/>
      <c r="G152" s="19"/>
      <c r="H152" s="19"/>
      <c r="I152" s="19"/>
      <c r="J152" s="19"/>
      <c r="K152" s="19"/>
      <c r="L152" s="19"/>
      <c r="M152" s="19"/>
      <c r="N152" s="19"/>
      <c r="O152" s="19"/>
      <c r="P152" s="19"/>
      <c r="Q152" s="19"/>
    </row>
    <row r="153" spans="1:20">
      <c r="A153" s="209" t="s">
        <v>59</v>
      </c>
      <c r="B153" s="172"/>
      <c r="C153" s="172"/>
      <c r="D153" s="528">
        <f>IFERROR(B154/B155,0)</f>
        <v>0</v>
      </c>
      <c r="E153" s="528">
        <f>IFERROR(B154/C155,0)</f>
        <v>0</v>
      </c>
      <c r="F153" s="19"/>
      <c r="G153" s="19"/>
      <c r="H153" s="28"/>
      <c r="I153" s="28"/>
      <c r="J153" s="28"/>
      <c r="K153" s="28"/>
      <c r="L153" s="28"/>
      <c r="M153" s="28"/>
      <c r="N153" s="28"/>
      <c r="O153" s="28"/>
      <c r="P153" s="28"/>
      <c r="Q153" s="28"/>
      <c r="R153" s="12"/>
      <c r="S153" s="12"/>
      <c r="T153" s="12"/>
    </row>
    <row r="154" spans="1:20">
      <c r="A154" s="141" t="s">
        <v>60</v>
      </c>
      <c r="B154" s="340">
        <f>IF(ISBLANK(AFin!C77),AFin!F77,AFin!C77)</f>
        <v>0</v>
      </c>
      <c r="C154" s="19"/>
      <c r="D154" s="417" t="s">
        <v>571</v>
      </c>
      <c r="E154" s="417" t="s">
        <v>112</v>
      </c>
      <c r="H154" s="28"/>
      <c r="I154" s="28"/>
      <c r="J154" s="28"/>
      <c r="K154" s="28"/>
      <c r="L154" s="28"/>
      <c r="M154" s="28"/>
      <c r="N154" s="28"/>
      <c r="O154" s="28"/>
      <c r="P154" s="28"/>
      <c r="Q154" s="28"/>
      <c r="R154" s="12"/>
      <c r="S154" s="12"/>
      <c r="T154" s="12"/>
    </row>
    <row r="155" spans="1:20">
      <c r="A155" s="20" t="s">
        <v>61</v>
      </c>
      <c r="B155" s="141">
        <f>IF(ISBLANK(AFin!$C99),AFin!$F99,AFin!$C99+AFin!$C79)</f>
        <v>0</v>
      </c>
      <c r="C155" s="141">
        <f>IF(ISBLANK(AFin!$C99),AFin!$F99-AFin!F79,AFin!$C99)</f>
        <v>0</v>
      </c>
      <c r="D155" s="151" t="b">
        <f>A160</f>
        <v>0</v>
      </c>
      <c r="H155" s="28"/>
      <c r="I155" s="28"/>
      <c r="J155" s="28"/>
      <c r="K155" s="28"/>
      <c r="L155" s="28"/>
      <c r="M155" s="28"/>
      <c r="N155" s="28"/>
      <c r="O155" s="28"/>
      <c r="P155" s="28"/>
      <c r="Q155" s="28"/>
      <c r="R155" s="12"/>
      <c r="S155" s="12"/>
      <c r="T155" s="12"/>
    </row>
    <row r="156" spans="1:20">
      <c r="B156" s="417" t="s">
        <v>571</v>
      </c>
      <c r="C156" s="417" t="s">
        <v>112</v>
      </c>
      <c r="D156" s="151" t="b">
        <f>A162</f>
        <v>0</v>
      </c>
      <c r="H156" s="28"/>
      <c r="I156" s="28"/>
      <c r="J156" s="28"/>
      <c r="K156" s="28"/>
      <c r="L156" s="28"/>
      <c r="M156" s="28"/>
      <c r="N156" s="28"/>
      <c r="O156" s="28"/>
      <c r="P156" s="28"/>
      <c r="Q156" s="28"/>
      <c r="R156" s="12"/>
      <c r="S156" s="12"/>
      <c r="T156" s="12"/>
    </row>
    <row r="157" spans="1:20">
      <c r="A157" s="19"/>
      <c r="B157" s="19"/>
      <c r="C157" s="19"/>
      <c r="D157" s="151" t="b">
        <f>A164</f>
        <v>1</v>
      </c>
      <c r="H157" s="19"/>
      <c r="I157" s="19"/>
      <c r="J157" s="19"/>
      <c r="K157" s="19"/>
      <c r="L157" s="19"/>
      <c r="M157" s="19"/>
      <c r="N157" s="19"/>
      <c r="O157" s="19"/>
      <c r="P157" s="19"/>
      <c r="Q157" s="19"/>
    </row>
    <row r="158" spans="1:20">
      <c r="A158" s="398">
        <f>VLOOKUP(TRUE,A160:H165,2,FALSE)</f>
        <v>-1</v>
      </c>
      <c r="B158" s="1076" t="str">
        <f>VLOOKUP(TRUE,A160:H165,3,FALSE)</f>
        <v>L'entreprise n'est pas en mesure d'honorer ses engagements s'il devait y avoir une liquidation de l'ensemble de la société.</v>
      </c>
      <c r="C158" s="1076"/>
      <c r="D158" s="1076"/>
      <c r="E158" s="1076"/>
      <c r="F158" s="1076"/>
      <c r="G158" s="1076"/>
      <c r="H158" s="1076"/>
      <c r="I158" s="19"/>
      <c r="J158" s="19"/>
      <c r="K158" s="19"/>
      <c r="L158" s="19"/>
      <c r="M158" s="19"/>
      <c r="N158" s="19"/>
      <c r="O158" s="19"/>
      <c r="P158" s="19"/>
      <c r="Q158" s="19"/>
    </row>
    <row r="159" spans="1:20">
      <c r="A159" s="397"/>
      <c r="B159" s="1076"/>
      <c r="C159" s="1076"/>
      <c r="D159" s="1076"/>
      <c r="E159" s="1076"/>
      <c r="F159" s="1076"/>
      <c r="G159" s="1076"/>
      <c r="H159" s="1076"/>
      <c r="I159" s="19"/>
      <c r="J159" s="19"/>
      <c r="K159" s="19"/>
      <c r="L159" s="19"/>
      <c r="M159" s="19"/>
      <c r="N159" s="19"/>
      <c r="O159" s="19"/>
      <c r="P159" s="19"/>
      <c r="Q159" s="19"/>
    </row>
    <row r="160" spans="1:20">
      <c r="A160" s="508" t="b">
        <f>IF(D153&gt;=100%,TRUE,FALSE)</f>
        <v>0</v>
      </c>
      <c r="B160" s="508">
        <v>1</v>
      </c>
      <c r="C160" s="1084" t="s">
        <v>111</v>
      </c>
      <c r="D160" s="1084"/>
      <c r="E160" s="1084"/>
      <c r="F160" s="1084"/>
      <c r="G160" s="1084"/>
      <c r="H160" s="1084"/>
      <c r="I160" s="19"/>
      <c r="K160" s="19"/>
      <c r="L160" s="19"/>
      <c r="M160" s="19"/>
      <c r="N160" s="19"/>
      <c r="O160" s="19"/>
      <c r="P160" s="19"/>
      <c r="Q160" s="19"/>
    </row>
    <row r="161" spans="1:19">
      <c r="A161" s="529"/>
      <c r="B161" s="529"/>
      <c r="C161" s="1082"/>
      <c r="D161" s="1082"/>
      <c r="E161" s="1082"/>
      <c r="F161" s="1082"/>
      <c r="G161" s="1082"/>
      <c r="H161" s="1082"/>
      <c r="I161" s="19"/>
      <c r="K161" s="19"/>
      <c r="L161" s="19"/>
      <c r="M161" s="19"/>
      <c r="N161" s="19"/>
      <c r="O161" s="19"/>
      <c r="P161" s="19"/>
      <c r="Q161" s="19"/>
    </row>
    <row r="162" spans="1:19">
      <c r="A162" s="508" t="b">
        <f>IF(AND(A160=FALSE,E153&gt;100%),TRUE,FALSE)</f>
        <v>0</v>
      </c>
      <c r="B162" s="508">
        <v>0</v>
      </c>
      <c r="C162" s="1082" t="s">
        <v>109</v>
      </c>
      <c r="D162" s="1082"/>
      <c r="E162" s="1082"/>
      <c r="F162" s="1082"/>
      <c r="G162" s="1082"/>
      <c r="H162" s="1082"/>
      <c r="I162" s="19"/>
      <c r="K162" s="19"/>
      <c r="L162" s="19"/>
      <c r="M162" s="19"/>
      <c r="N162" s="19"/>
      <c r="O162" s="19"/>
      <c r="P162" s="19"/>
      <c r="Q162" s="19"/>
    </row>
    <row r="163" spans="1:19">
      <c r="A163" s="509"/>
      <c r="B163" s="509"/>
      <c r="C163" s="1082"/>
      <c r="D163" s="1082"/>
      <c r="E163" s="1082"/>
      <c r="F163" s="1082"/>
      <c r="G163" s="1082"/>
      <c r="H163" s="1082"/>
      <c r="I163" s="19"/>
      <c r="K163" s="19"/>
      <c r="L163" s="19"/>
      <c r="M163" s="19"/>
      <c r="N163" s="19"/>
      <c r="O163" s="19"/>
      <c r="P163" s="19"/>
      <c r="Q163" s="19"/>
    </row>
    <row r="164" spans="1:19">
      <c r="A164" s="508" t="b">
        <f>IF(E153&lt;100%,TRUE,FALSE)</f>
        <v>1</v>
      </c>
      <c r="B164" s="508">
        <v>-1</v>
      </c>
      <c r="C164" s="1082" t="s">
        <v>110</v>
      </c>
      <c r="D164" s="1082"/>
      <c r="E164" s="1082"/>
      <c r="F164" s="1082"/>
      <c r="G164" s="1082"/>
      <c r="H164" s="1082"/>
      <c r="I164" s="19"/>
      <c r="K164" s="19"/>
      <c r="L164" s="19"/>
      <c r="M164" s="19"/>
      <c r="N164" s="19"/>
      <c r="O164" s="19"/>
      <c r="P164" s="19"/>
      <c r="Q164" s="19"/>
    </row>
    <row r="165" spans="1:19">
      <c r="A165" s="509"/>
      <c r="B165" s="509"/>
      <c r="C165" s="1082"/>
      <c r="D165" s="1082"/>
      <c r="E165" s="1082"/>
      <c r="F165" s="1082"/>
      <c r="G165" s="1082"/>
      <c r="H165" s="1082"/>
      <c r="I165" s="19"/>
      <c r="K165" s="19"/>
      <c r="L165" s="19"/>
      <c r="M165" s="19"/>
      <c r="N165" s="19"/>
      <c r="O165" s="19"/>
      <c r="P165" s="19"/>
      <c r="Q165" s="19"/>
    </row>
    <row r="166" spans="1:19">
      <c r="A166" s="19"/>
      <c r="B166" s="19"/>
      <c r="C166" s="19"/>
      <c r="D166" s="151"/>
      <c r="E166" s="19"/>
      <c r="F166" s="19"/>
      <c r="G166" s="19"/>
      <c r="H166" s="19"/>
      <c r="I166" s="19"/>
      <c r="J166" s="19"/>
      <c r="K166" s="19"/>
      <c r="L166" s="19"/>
      <c r="M166" s="19"/>
      <c r="N166" s="19"/>
      <c r="O166" s="19"/>
      <c r="P166" s="19"/>
      <c r="Q166" s="19"/>
    </row>
    <row r="167" spans="1:19">
      <c r="A167" s="209" t="s">
        <v>69</v>
      </c>
      <c r="B167" s="209"/>
      <c r="C167" s="209"/>
      <c r="D167" s="530">
        <f>IFERROR(C168/C169,0)</f>
        <v>0</v>
      </c>
      <c r="E167" s="19"/>
      <c r="G167" s="28"/>
      <c r="H167" s="28"/>
      <c r="I167" s="28"/>
      <c r="J167" s="28"/>
      <c r="K167" s="28"/>
      <c r="L167" s="28"/>
      <c r="M167" s="28"/>
      <c r="N167" s="28"/>
      <c r="O167" s="28"/>
      <c r="P167" s="28"/>
      <c r="Q167" s="28"/>
      <c r="R167" s="12"/>
      <c r="S167" s="12"/>
    </row>
    <row r="168" spans="1:19">
      <c r="A168" s="20" t="s">
        <v>70</v>
      </c>
      <c r="B168" s="21"/>
      <c r="C168" s="141">
        <f>IF(ISBLANK(AFin!C71),AFin!F71+AFin!F73,AFin!C71)</f>
        <v>0</v>
      </c>
      <c r="D168" s="19"/>
      <c r="E168" s="19"/>
      <c r="G168" s="12"/>
      <c r="H168" s="28"/>
      <c r="I168" s="28"/>
      <c r="J168" s="28"/>
      <c r="K168" s="28"/>
      <c r="L168" s="28"/>
      <c r="M168" s="28"/>
      <c r="N168" s="28"/>
      <c r="O168" s="28"/>
      <c r="P168" s="28"/>
      <c r="Q168" s="28"/>
      <c r="R168" s="12"/>
      <c r="S168" s="12"/>
    </row>
    <row r="169" spans="1:19">
      <c r="A169" s="20" t="s">
        <v>71</v>
      </c>
      <c r="B169" s="21"/>
      <c r="C169" s="141">
        <f>IF(ISBLANK(AFin!C93),AFin!F93,AFin!C93)</f>
        <v>0</v>
      </c>
      <c r="D169" s="19"/>
      <c r="E169" s="19"/>
      <c r="G169" s="12"/>
      <c r="H169" s="28"/>
      <c r="I169" s="28"/>
      <c r="J169" s="28"/>
      <c r="K169" s="28"/>
      <c r="L169" s="28"/>
      <c r="M169" s="28"/>
      <c r="N169" s="28"/>
      <c r="O169" s="28"/>
      <c r="P169" s="28"/>
      <c r="Q169" s="28"/>
      <c r="R169" s="12"/>
      <c r="S169" s="12"/>
    </row>
    <row r="170" spans="1:19">
      <c r="A170" s="19"/>
      <c r="B170" s="19"/>
      <c r="C170" s="19"/>
      <c r="D170" s="19"/>
      <c r="E170" s="19"/>
      <c r="F170" s="19"/>
      <c r="G170" s="19"/>
      <c r="H170" s="19"/>
      <c r="I170" s="19"/>
      <c r="J170" s="19"/>
      <c r="K170" s="19"/>
      <c r="L170" s="19"/>
      <c r="M170" s="19"/>
      <c r="N170" s="19"/>
      <c r="O170" s="19"/>
      <c r="P170" s="19"/>
      <c r="Q170" s="19"/>
    </row>
    <row r="171" spans="1:19">
      <c r="A171" s="1102" t="str">
        <f>VLOOKUP(TRUE,A173:H176,2,FALSE)</f>
        <v>L'entreprise est incapable d'honorer ses engagements à court terme. Pour chaque euro que l'entreprise doit, celle-ci ne possède que 0 € en cash à la banque.</v>
      </c>
      <c r="B171" s="1103"/>
      <c r="C171" s="1103"/>
      <c r="D171" s="1103"/>
      <c r="E171" s="1103"/>
      <c r="F171" s="1103"/>
      <c r="G171" s="1103"/>
      <c r="H171" s="1104"/>
      <c r="I171" s="19"/>
      <c r="J171" s="19"/>
      <c r="K171" s="19"/>
      <c r="L171" s="19"/>
      <c r="M171" s="19"/>
      <c r="N171" s="19"/>
      <c r="O171" s="19"/>
      <c r="P171" s="19"/>
      <c r="Q171" s="19"/>
    </row>
    <row r="172" spans="1:19">
      <c r="A172" s="1105"/>
      <c r="B172" s="1106"/>
      <c r="C172" s="1106"/>
      <c r="D172" s="1106"/>
      <c r="E172" s="1106"/>
      <c r="F172" s="1106"/>
      <c r="G172" s="1106"/>
      <c r="H172" s="1107"/>
      <c r="I172" s="19"/>
      <c r="J172" s="19"/>
      <c r="K172" s="19"/>
      <c r="L172" s="19"/>
      <c r="M172" s="19"/>
      <c r="N172" s="19"/>
      <c r="O172" s="19"/>
      <c r="P172" s="19"/>
      <c r="Q172" s="19"/>
    </row>
    <row r="173" spans="1:19">
      <c r="A173" s="340" t="b">
        <f>IF(D167&gt;=1,TRUE,FALSE)</f>
        <v>0</v>
      </c>
      <c r="B173" s="1080" t="str">
        <f>"L'entreprise est capable d'honorer ses engagements à court terme. Pour chaque euro que l'entreprise doit, celle-ci possède "&amp;ROUND(D167,2)&amp;" € en cash à la banque."</f>
        <v>L'entreprise est capable d'honorer ses engagements à court terme. Pour chaque euro que l'entreprise doit, celle-ci possède 0 € en cash à la banque.</v>
      </c>
      <c r="C173" s="1080"/>
      <c r="D173" s="1080"/>
      <c r="E173" s="1080"/>
      <c r="F173" s="1080"/>
      <c r="G173" s="1080"/>
      <c r="H173" s="1080"/>
      <c r="I173" s="19"/>
      <c r="J173" s="19"/>
      <c r="K173" s="19"/>
      <c r="L173" s="19"/>
      <c r="M173" s="19"/>
      <c r="N173" s="19"/>
      <c r="O173" s="19"/>
      <c r="P173" s="19"/>
      <c r="Q173" s="19"/>
    </row>
    <row r="174" spans="1:19">
      <c r="A174" s="341"/>
      <c r="B174" s="1080"/>
      <c r="C174" s="1080"/>
      <c r="D174" s="1080"/>
      <c r="E174" s="1080"/>
      <c r="F174" s="1080"/>
      <c r="G174" s="1080"/>
      <c r="H174" s="1080"/>
      <c r="I174" s="19"/>
      <c r="J174" s="19"/>
      <c r="K174" s="19"/>
      <c r="L174" s="19"/>
      <c r="M174" s="19"/>
      <c r="N174" s="19"/>
      <c r="O174" s="19"/>
      <c r="P174" s="19"/>
      <c r="Q174" s="19"/>
    </row>
    <row r="175" spans="1:19">
      <c r="A175" s="340" t="b">
        <f>IF(D167&lt;1,TRUE,FALSE)</f>
        <v>1</v>
      </c>
      <c r="B175" s="1080" t="str">
        <f>"L'entreprise est incapable d'honorer ses engagements à court terme. Pour chaque euro que l'entreprise doit, celle-ci ne possède que "&amp;ROUND(D167,2)&amp;" € en cash à la banque."</f>
        <v>L'entreprise est incapable d'honorer ses engagements à court terme. Pour chaque euro que l'entreprise doit, celle-ci ne possède que 0 € en cash à la banque.</v>
      </c>
      <c r="C175" s="1080"/>
      <c r="D175" s="1080"/>
      <c r="E175" s="1080"/>
      <c r="F175" s="1080"/>
      <c r="G175" s="1080"/>
      <c r="H175" s="1080"/>
      <c r="I175" s="19"/>
      <c r="J175" s="19"/>
      <c r="K175" s="19"/>
      <c r="L175" s="19"/>
      <c r="M175" s="19"/>
      <c r="N175" s="19"/>
      <c r="O175" s="19"/>
      <c r="P175" s="19"/>
      <c r="Q175" s="19"/>
    </row>
    <row r="176" spans="1:19">
      <c r="A176" s="341"/>
      <c r="B176" s="1080"/>
      <c r="C176" s="1080"/>
      <c r="D176" s="1080"/>
      <c r="E176" s="1080"/>
      <c r="F176" s="1080"/>
      <c r="G176" s="1080"/>
      <c r="H176" s="1080"/>
      <c r="I176" s="19"/>
      <c r="J176" s="19"/>
      <c r="K176" s="19"/>
      <c r="L176" s="19"/>
      <c r="M176" s="19"/>
      <c r="N176" s="19"/>
      <c r="O176" s="19"/>
      <c r="P176" s="19"/>
      <c r="Q176" s="19"/>
    </row>
    <row r="177" spans="1:22">
      <c r="A177" s="19"/>
      <c r="B177" s="19"/>
      <c r="C177" s="19"/>
      <c r="D177" s="19"/>
      <c r="E177" s="19"/>
      <c r="F177" s="19"/>
      <c r="G177" s="19"/>
      <c r="H177" s="19"/>
      <c r="I177" s="19"/>
      <c r="J177" s="19"/>
      <c r="K177" s="19"/>
      <c r="L177" s="19"/>
      <c r="M177" s="19"/>
      <c r="N177" s="19"/>
      <c r="O177" s="19"/>
      <c r="P177" s="19"/>
      <c r="Q177" s="19"/>
    </row>
    <row r="178" spans="1:22">
      <c r="A178" s="19"/>
      <c r="B178" s="19"/>
      <c r="C178" s="19"/>
      <c r="D178" s="19"/>
      <c r="G178" s="28"/>
      <c r="H178" s="28"/>
      <c r="I178" s="28"/>
      <c r="J178" s="28"/>
      <c r="K178" s="28"/>
      <c r="L178" s="28"/>
      <c r="M178" s="28"/>
      <c r="N178" s="28"/>
      <c r="O178" s="28"/>
      <c r="P178" s="28"/>
      <c r="Q178" s="28"/>
    </row>
    <row r="179" spans="1:22">
      <c r="A179" s="19"/>
      <c r="B179" s="19"/>
      <c r="C179" s="19"/>
      <c r="D179" s="19"/>
      <c r="G179" s="12"/>
      <c r="H179" s="28"/>
      <c r="I179" s="28"/>
      <c r="J179" s="28"/>
      <c r="K179" s="28"/>
      <c r="L179" s="28"/>
      <c r="M179" s="28"/>
      <c r="N179" s="28"/>
      <c r="O179" s="28"/>
      <c r="P179" s="28"/>
      <c r="Q179" s="28"/>
    </row>
    <row r="180" spans="1:22">
      <c r="A180" s="209" t="s">
        <v>72</v>
      </c>
      <c r="B180" s="172"/>
      <c r="C180" s="172"/>
      <c r="D180" s="518">
        <f>IFERROR((C155-C168)/B108,0)</f>
        <v>0</v>
      </c>
      <c r="G180" s="12"/>
      <c r="H180" s="28"/>
      <c r="I180" s="28"/>
      <c r="J180" s="28"/>
      <c r="K180" s="28"/>
      <c r="L180" s="28"/>
      <c r="M180" s="28"/>
      <c r="N180" s="28"/>
      <c r="O180" s="28"/>
      <c r="P180" s="28"/>
      <c r="Q180" s="28"/>
    </row>
    <row r="181" spans="1:22">
      <c r="A181" s="19"/>
      <c r="B181" s="19"/>
      <c r="C181" s="19"/>
      <c r="D181" s="19"/>
      <c r="G181" s="12"/>
      <c r="H181" s="28"/>
      <c r="I181" s="28"/>
      <c r="J181" s="28"/>
      <c r="K181" s="28"/>
      <c r="L181" s="28"/>
      <c r="M181" s="28"/>
      <c r="N181" s="28"/>
      <c r="O181" s="28"/>
      <c r="P181" s="28"/>
      <c r="Q181" s="28"/>
    </row>
    <row r="182" spans="1:22">
      <c r="A182" s="398">
        <f>VLOOKUP(TRUE,A184:H194,2,FALSE)</f>
        <v>0</v>
      </c>
      <c r="B182" s="1076" t="str">
        <f>VLOOKUP(TRUE,A184:H194,3,FALSE)</f>
        <v>L'entreprise est dans une situation économique risquée car le ratio est supérieur à 50%. Le financement de l'entreprise provient majoritairement de sources externes plutôt que de sources internes.</v>
      </c>
      <c r="C182" s="1076"/>
      <c r="D182" s="1076"/>
      <c r="E182" s="1076"/>
      <c r="F182" s="1076"/>
      <c r="G182" s="1076"/>
      <c r="H182" s="1076"/>
      <c r="I182" s="28"/>
      <c r="J182" s="28"/>
      <c r="K182" s="28"/>
      <c r="L182" s="28"/>
      <c r="M182" s="28"/>
      <c r="N182" s="28"/>
      <c r="O182" s="28"/>
      <c r="P182" s="28"/>
      <c r="Q182" s="28"/>
      <c r="R182" s="12"/>
      <c r="S182" s="12"/>
      <c r="T182" s="12"/>
      <c r="U182" s="12"/>
      <c r="V182" s="12"/>
    </row>
    <row r="183" spans="1:22">
      <c r="A183" s="397"/>
      <c r="B183" s="1076"/>
      <c r="C183" s="1076"/>
      <c r="D183" s="1076"/>
      <c r="E183" s="1076"/>
      <c r="F183" s="1076"/>
      <c r="G183" s="1076"/>
      <c r="H183" s="1076"/>
      <c r="I183" s="28"/>
      <c r="J183" s="28"/>
      <c r="K183" s="28"/>
      <c r="L183" s="28"/>
      <c r="M183" s="28"/>
      <c r="N183" s="28"/>
      <c r="O183" s="28"/>
      <c r="P183" s="28"/>
      <c r="Q183" s="28"/>
      <c r="R183" s="12"/>
      <c r="S183" s="12"/>
      <c r="T183" s="12"/>
      <c r="U183" s="12"/>
      <c r="V183" s="12"/>
    </row>
    <row r="184" spans="1:22" ht="15" customHeight="1">
      <c r="A184" s="340" t="b">
        <f>IF(AND(D180&gt;0,D180&lt;50%),TRUE,FALSE)</f>
        <v>0</v>
      </c>
      <c r="B184" s="28">
        <v>1</v>
      </c>
      <c r="C184" s="1084" t="str">
        <f>"L'entreprise est dans une situation financière stable car le ratio est inférieur à 50%. Le financement de l'entreprise provient majoritairement de sources internes plutôt que de sources externes."</f>
        <v>L'entreprise est dans une situation financière stable car le ratio est inférieur à 50%. Le financement de l'entreprise provient majoritairement de sources internes plutôt que de sources externes.</v>
      </c>
      <c r="D184" s="1084"/>
      <c r="E184" s="1084"/>
      <c r="F184" s="1084"/>
      <c r="G184" s="1084"/>
      <c r="H184" s="1084"/>
      <c r="I184" s="28"/>
      <c r="J184" s="28"/>
      <c r="K184" s="28"/>
      <c r="L184" s="28"/>
      <c r="M184" s="28"/>
      <c r="N184" s="28"/>
      <c r="O184" s="28"/>
      <c r="P184" s="28"/>
      <c r="Q184" s="28"/>
      <c r="R184" s="12"/>
      <c r="S184" s="12"/>
      <c r="T184" s="12"/>
      <c r="U184" s="12"/>
      <c r="V184" s="12"/>
    </row>
    <row r="185" spans="1:22">
      <c r="A185" s="389"/>
      <c r="B185" s="28"/>
      <c r="C185" s="1082"/>
      <c r="D185" s="1082"/>
      <c r="E185" s="1082"/>
      <c r="F185" s="1082"/>
      <c r="G185" s="1082"/>
      <c r="H185" s="1082"/>
      <c r="I185" s="28"/>
      <c r="J185" s="28"/>
      <c r="K185" s="28"/>
      <c r="L185" s="28"/>
      <c r="M185" s="28"/>
      <c r="N185" s="28"/>
      <c r="O185" s="28"/>
      <c r="P185" s="28"/>
      <c r="Q185" s="28"/>
      <c r="R185" s="12"/>
      <c r="S185" s="12"/>
      <c r="T185" s="12"/>
      <c r="U185" s="12"/>
      <c r="V185" s="12"/>
    </row>
    <row r="186" spans="1:22">
      <c r="A186" s="341"/>
      <c r="B186" s="28"/>
      <c r="C186" s="1082"/>
      <c r="D186" s="1082"/>
      <c r="E186" s="1082"/>
      <c r="F186" s="1082"/>
      <c r="G186" s="1082"/>
      <c r="H186" s="1082"/>
      <c r="I186" s="28"/>
      <c r="J186" s="28"/>
      <c r="K186" s="28"/>
      <c r="L186" s="28"/>
      <c r="M186" s="28"/>
      <c r="N186" s="28"/>
      <c r="O186" s="28"/>
      <c r="P186" s="28"/>
      <c r="Q186" s="28"/>
      <c r="R186" s="12"/>
      <c r="S186" s="12"/>
      <c r="T186" s="12"/>
      <c r="U186" s="12"/>
      <c r="V186" s="12"/>
    </row>
    <row r="187" spans="1:22" ht="15" customHeight="1">
      <c r="A187" s="340" t="b">
        <f>IF(AND(A184=FALSE,A190=FALSE,A193=FALSE),TRUE,FALSE)</f>
        <v>1</v>
      </c>
      <c r="B187" s="508">
        <v>0</v>
      </c>
      <c r="C187" s="1082" t="str">
        <f>"L'entreprise est dans une situation économique risquée car le ratio est supérieur à 50%. Le financement de l'entreprise provient majoritairement de sources externes plutôt que de sources internes."</f>
        <v>L'entreprise est dans une situation économique risquée car le ratio est supérieur à 50%. Le financement de l'entreprise provient majoritairement de sources externes plutôt que de sources internes.</v>
      </c>
      <c r="D187" s="1082"/>
      <c r="E187" s="1082"/>
      <c r="F187" s="1082"/>
      <c r="G187" s="1082"/>
      <c r="H187" s="1082"/>
      <c r="I187" s="28"/>
      <c r="J187" s="28"/>
      <c r="K187" s="28"/>
      <c r="L187" s="28"/>
      <c r="M187" s="28"/>
      <c r="N187" s="28"/>
      <c r="O187" s="28"/>
      <c r="P187" s="28"/>
      <c r="Q187" s="28"/>
      <c r="R187" s="12"/>
      <c r="S187" s="12"/>
      <c r="T187" s="12"/>
      <c r="U187" s="12"/>
      <c r="V187" s="12"/>
    </row>
    <row r="188" spans="1:22">
      <c r="A188" s="389"/>
      <c r="B188" s="318"/>
      <c r="C188" s="1082"/>
      <c r="D188" s="1082"/>
      <c r="E188" s="1082"/>
      <c r="F188" s="1082"/>
      <c r="G188" s="1082"/>
      <c r="H188" s="1082"/>
      <c r="I188" s="28"/>
      <c r="J188" s="28"/>
      <c r="K188" s="28"/>
      <c r="L188" s="28"/>
      <c r="M188" s="28"/>
      <c r="N188" s="28"/>
      <c r="O188" s="28"/>
      <c r="P188" s="28"/>
      <c r="Q188" s="28"/>
      <c r="R188" s="12"/>
      <c r="S188" s="12"/>
      <c r="T188" s="12"/>
      <c r="U188" s="12"/>
      <c r="V188" s="12"/>
    </row>
    <row r="189" spans="1:22">
      <c r="A189" s="341"/>
      <c r="B189" s="509"/>
      <c r="C189" s="1082"/>
      <c r="D189" s="1082"/>
      <c r="E189" s="1082"/>
      <c r="F189" s="1082"/>
      <c r="G189" s="1082"/>
      <c r="H189" s="1082"/>
      <c r="I189" s="28"/>
      <c r="J189" s="28"/>
      <c r="K189" s="28"/>
      <c r="L189" s="28"/>
      <c r="M189" s="28"/>
      <c r="N189" s="28"/>
      <c r="O189" s="28"/>
      <c r="P189" s="28"/>
      <c r="Q189" s="28"/>
      <c r="R189" s="12"/>
      <c r="S189" s="12"/>
      <c r="T189" s="12"/>
      <c r="U189" s="12"/>
      <c r="V189" s="12"/>
    </row>
    <row r="190" spans="1:22">
      <c r="A190" s="340" t="b">
        <f>IF(D180&gt;66%,TRUE,FALSE)</f>
        <v>0</v>
      </c>
      <c r="B190" s="28">
        <v>-1</v>
      </c>
      <c r="C190" s="1082" t="s">
        <v>128</v>
      </c>
      <c r="D190" s="1082"/>
      <c r="E190" s="1082"/>
      <c r="F190" s="1082"/>
      <c r="G190" s="1082"/>
      <c r="H190" s="1082"/>
      <c r="I190" s="28"/>
      <c r="J190" s="28"/>
      <c r="K190" s="28"/>
      <c r="L190" s="28"/>
      <c r="M190" s="28"/>
      <c r="N190" s="28"/>
      <c r="O190" s="28"/>
      <c r="P190" s="28"/>
      <c r="Q190" s="28"/>
      <c r="R190" s="12"/>
      <c r="S190" s="12"/>
      <c r="T190" s="12"/>
      <c r="U190" s="12"/>
      <c r="V190" s="12"/>
    </row>
    <row r="191" spans="1:22">
      <c r="A191" s="389"/>
      <c r="B191" s="28"/>
      <c r="C191" s="1082"/>
      <c r="D191" s="1082"/>
      <c r="E191" s="1082"/>
      <c r="F191" s="1082"/>
      <c r="G191" s="1082"/>
      <c r="H191" s="1082"/>
      <c r="I191" s="28"/>
      <c r="J191" s="28"/>
      <c r="K191" s="28"/>
      <c r="L191" s="28"/>
      <c r="M191" s="28"/>
      <c r="N191" s="28"/>
      <c r="O191" s="28"/>
      <c r="P191" s="28"/>
      <c r="Q191" s="28"/>
      <c r="R191" s="12"/>
      <c r="S191" s="12"/>
      <c r="T191" s="12"/>
      <c r="U191" s="12"/>
      <c r="V191" s="12"/>
    </row>
    <row r="192" spans="1:22">
      <c r="A192" s="341"/>
      <c r="B192" s="28"/>
      <c r="C192" s="1082"/>
      <c r="D192" s="1082"/>
      <c r="E192" s="1082"/>
      <c r="F192" s="1082"/>
      <c r="G192" s="1082"/>
      <c r="H192" s="1082"/>
      <c r="I192" s="28"/>
      <c r="J192" s="28"/>
      <c r="K192" s="28"/>
      <c r="L192" s="28"/>
      <c r="M192" s="28"/>
      <c r="N192" s="28"/>
      <c r="O192" s="28"/>
      <c r="P192" s="28"/>
      <c r="Q192" s="28"/>
      <c r="R192" s="12"/>
      <c r="S192" s="12"/>
      <c r="T192" s="12"/>
      <c r="U192" s="12"/>
      <c r="V192" s="12"/>
    </row>
    <row r="193" spans="1:22" ht="15" customHeight="1">
      <c r="A193" s="340" t="b">
        <f>IF(D180&lt;0,TRUE,FALSE)</f>
        <v>0</v>
      </c>
      <c r="B193" s="508">
        <v>-1</v>
      </c>
      <c r="C193" s="1082" t="s">
        <v>173</v>
      </c>
      <c r="D193" s="1082"/>
      <c r="E193" s="1082"/>
      <c r="F193" s="1082"/>
      <c r="G193" s="1082"/>
      <c r="H193" s="1082"/>
      <c r="I193" s="28"/>
      <c r="J193" s="28"/>
      <c r="K193" s="28"/>
      <c r="L193" s="28"/>
      <c r="M193" s="28"/>
      <c r="N193" s="28"/>
      <c r="O193" s="28"/>
      <c r="P193" s="28"/>
      <c r="Q193" s="28"/>
      <c r="R193" s="12"/>
      <c r="S193" s="12"/>
      <c r="T193" s="12"/>
      <c r="U193" s="12"/>
      <c r="V193" s="12"/>
    </row>
    <row r="194" spans="1:22">
      <c r="A194" s="341"/>
      <c r="B194" s="509"/>
      <c r="C194" s="1082"/>
      <c r="D194" s="1082"/>
      <c r="E194" s="1082"/>
      <c r="F194" s="1082"/>
      <c r="G194" s="1082"/>
      <c r="H194" s="1082"/>
      <c r="I194" s="28"/>
      <c r="J194" s="28"/>
      <c r="K194" s="28"/>
      <c r="L194" s="28"/>
      <c r="M194" s="28"/>
      <c r="N194" s="28"/>
      <c r="O194" s="28"/>
      <c r="P194" s="28"/>
      <c r="Q194" s="28"/>
      <c r="R194" s="12"/>
      <c r="S194" s="12"/>
      <c r="T194" s="12"/>
      <c r="U194" s="12"/>
      <c r="V194" s="12"/>
    </row>
    <row r="195" spans="1:22">
      <c r="A195" s="19"/>
      <c r="B195" s="28"/>
      <c r="C195" s="28"/>
      <c r="D195" s="28"/>
      <c r="E195" s="28"/>
      <c r="F195" s="28"/>
      <c r="G195" s="28"/>
      <c r="H195" s="28"/>
      <c r="I195" s="28"/>
      <c r="J195" s="28"/>
      <c r="K195" s="28"/>
      <c r="L195" s="28"/>
      <c r="M195" s="28"/>
      <c r="N195" s="28"/>
      <c r="O195" s="28"/>
      <c r="P195" s="28"/>
      <c r="Q195" s="28"/>
      <c r="R195" s="12"/>
      <c r="S195" s="12"/>
      <c r="T195" s="12"/>
      <c r="U195" s="12"/>
      <c r="V195" s="12"/>
    </row>
    <row r="196" spans="1:22">
      <c r="A196" s="209" t="s">
        <v>73</v>
      </c>
      <c r="B196" s="172"/>
      <c r="C196" s="531">
        <f>IFERROR(B123/B197,0)</f>
        <v>0</v>
      </c>
      <c r="D196" s="19"/>
      <c r="E196" s="19"/>
      <c r="G196" s="28"/>
      <c r="H196" s="28"/>
      <c r="I196" s="19"/>
      <c r="J196" s="19"/>
      <c r="K196" s="19"/>
      <c r="L196" s="19"/>
      <c r="M196" s="19"/>
      <c r="N196" s="19"/>
      <c r="O196" s="19"/>
      <c r="P196" s="19"/>
      <c r="Q196" s="19"/>
    </row>
    <row r="197" spans="1:22">
      <c r="A197" s="141" t="s">
        <v>0</v>
      </c>
      <c r="B197" s="141">
        <f>IF(ISBLANK(AFin!C103),AFin!F44+AFin!F103+AFin!G103+AFin!H103+AFin!F105+AFin!H105+AFin!F107-AFin!G109-AFin!G105-AFin!G107-AFin!H107+AFin!F109,AFin!C103)</f>
        <v>0</v>
      </c>
      <c r="C197" s="19"/>
      <c r="D197" s="19"/>
      <c r="E197" s="19"/>
      <c r="G197" s="12"/>
      <c r="H197" s="28"/>
      <c r="I197" s="19"/>
      <c r="J197" s="19"/>
      <c r="K197" s="19"/>
      <c r="L197" s="19"/>
      <c r="M197" s="19"/>
      <c r="N197" s="19"/>
      <c r="O197" s="19"/>
      <c r="P197" s="19"/>
      <c r="Q197" s="19"/>
    </row>
    <row r="198" spans="1:22">
      <c r="A198" s="19"/>
      <c r="B198" s="19"/>
      <c r="C198" s="19"/>
      <c r="D198" s="19"/>
      <c r="E198" s="19"/>
      <c r="H198" s="19"/>
      <c r="I198" s="19"/>
      <c r="J198" s="19"/>
      <c r="K198" s="19"/>
      <c r="L198" s="19"/>
      <c r="M198" s="19"/>
      <c r="N198" s="19"/>
      <c r="O198" s="19"/>
      <c r="P198" s="19"/>
      <c r="Q198" s="19"/>
    </row>
    <row r="199" spans="1:22">
      <c r="A199" s="1076" t="e">
        <f>VLOOKUP(TRUE,A201:H204,2,FALSE)</f>
        <v>#DIV/0!</v>
      </c>
      <c r="B199" s="1076"/>
      <c r="C199" s="1076"/>
      <c r="D199" s="1076"/>
      <c r="E199" s="1076"/>
      <c r="F199" s="1076"/>
      <c r="G199" s="1076"/>
      <c r="H199" s="1076"/>
      <c r="I199" s="19"/>
      <c r="J199" s="19"/>
      <c r="K199" s="19"/>
      <c r="L199" s="19"/>
      <c r="M199" s="19"/>
      <c r="N199" s="19"/>
      <c r="O199" s="19"/>
      <c r="P199" s="19"/>
      <c r="Q199" s="19"/>
    </row>
    <row r="200" spans="1:22">
      <c r="A200" s="1076"/>
      <c r="B200" s="1076"/>
      <c r="C200" s="1076"/>
      <c r="D200" s="1076"/>
      <c r="E200" s="1076"/>
      <c r="F200" s="1076"/>
      <c r="G200" s="1076"/>
      <c r="H200" s="1076"/>
      <c r="I200" s="19"/>
      <c r="J200" s="19"/>
      <c r="K200" s="19"/>
      <c r="L200" s="19"/>
      <c r="M200" s="19"/>
      <c r="N200" s="19"/>
      <c r="O200" s="19"/>
      <c r="P200" s="19"/>
      <c r="Q200" s="19"/>
    </row>
    <row r="201" spans="1:22">
      <c r="A201" s="340" t="b">
        <f>IF(C196&lt;=4,TRUE,FALSE)</f>
        <v>1</v>
      </c>
      <c r="B201" s="1083" t="e">
        <f>"L'entreprise a une bonne capacité de remboursement car le ratio est inférieur à 4. A capacité d'autofinancement constante, elle mettra "&amp;IF(B123/B197&gt;=2,ROUND(B123/B197,2)&amp;"ans",ROUND(B123/B197,2)&amp;" an")&amp; " à rembourser ses emprunts."</f>
        <v>#DIV/0!</v>
      </c>
      <c r="C201" s="1083"/>
      <c r="D201" s="1083"/>
      <c r="E201" s="1083"/>
      <c r="F201" s="1083"/>
      <c r="G201" s="1083"/>
      <c r="H201" s="1083"/>
      <c r="I201" s="19"/>
      <c r="J201" s="19"/>
      <c r="K201" s="19"/>
      <c r="L201" s="19"/>
      <c r="M201" s="19"/>
      <c r="N201" s="19"/>
      <c r="O201" s="19"/>
      <c r="P201" s="19"/>
      <c r="Q201" s="19"/>
    </row>
    <row r="202" spans="1:22">
      <c r="A202" s="341"/>
      <c r="B202" s="1080"/>
      <c r="C202" s="1080"/>
      <c r="D202" s="1080"/>
      <c r="E202" s="1080"/>
      <c r="F202" s="1080"/>
      <c r="G202" s="1080"/>
      <c r="H202" s="1080"/>
      <c r="I202" s="19"/>
      <c r="J202" s="19"/>
      <c r="K202" s="19"/>
      <c r="L202" s="19"/>
      <c r="M202" s="19"/>
      <c r="N202" s="19"/>
      <c r="O202" s="19"/>
      <c r="P202" s="19"/>
      <c r="Q202" s="19"/>
    </row>
    <row r="203" spans="1:22">
      <c r="A203" s="340" t="b">
        <f>IF(C196&gt;4, TRUE,FALSE)</f>
        <v>0</v>
      </c>
      <c r="B203" s="1080" t="e">
        <f>"L'entreprise a dépassé sa capacité d'endettement puisqu'elle mettra plus de 4 ans ("&amp;IF(B123/B197&gt;=2,ROUND(B123/B197,2)&amp;"ans",ROUND(B123/B197,2)&amp;" ans à rembourser ses emprunts au moyen de sa CAF dans l'hypothèse où celle-ci est constante.")</f>
        <v>#DIV/0!</v>
      </c>
      <c r="C203" s="1080"/>
      <c r="D203" s="1080"/>
      <c r="E203" s="1080"/>
      <c r="F203" s="1080"/>
      <c r="G203" s="1080"/>
      <c r="H203" s="1080"/>
      <c r="I203" s="19"/>
      <c r="J203" s="19"/>
      <c r="K203" s="19"/>
      <c r="L203" s="19"/>
      <c r="M203" s="19"/>
      <c r="N203" s="19"/>
      <c r="O203" s="19"/>
      <c r="P203" s="19"/>
      <c r="Q203" s="19"/>
    </row>
    <row r="204" spans="1:22">
      <c r="A204" s="341"/>
      <c r="B204" s="1080"/>
      <c r="C204" s="1080"/>
      <c r="D204" s="1080"/>
      <c r="E204" s="1080"/>
      <c r="F204" s="1080"/>
      <c r="G204" s="1080"/>
      <c r="H204" s="1080"/>
      <c r="I204" s="19"/>
      <c r="J204" s="19"/>
      <c r="K204" s="19"/>
      <c r="L204" s="19"/>
      <c r="M204" s="19"/>
      <c r="N204" s="19"/>
      <c r="O204" s="19"/>
      <c r="P204" s="19"/>
      <c r="Q204" s="19"/>
    </row>
    <row r="205" spans="1:22">
      <c r="A205" s="19"/>
      <c r="B205" s="19"/>
      <c r="C205" s="19"/>
      <c r="D205" s="19"/>
      <c r="E205" s="19"/>
      <c r="F205" s="19"/>
      <c r="G205" s="19"/>
      <c r="H205" s="19"/>
      <c r="I205" s="19"/>
      <c r="J205" s="19"/>
      <c r="K205" s="19"/>
      <c r="L205" s="19"/>
      <c r="M205" s="19"/>
      <c r="N205" s="19"/>
      <c r="O205" s="19"/>
      <c r="P205" s="19"/>
      <c r="Q205" s="19"/>
    </row>
    <row r="206" spans="1:22">
      <c r="A206" s="19"/>
      <c r="B206" s="19"/>
      <c r="C206" s="19"/>
      <c r="D206" s="19"/>
      <c r="E206" s="19"/>
      <c r="F206" s="19"/>
      <c r="G206" s="28"/>
      <c r="H206" s="28"/>
      <c r="I206" s="28"/>
      <c r="J206" s="28"/>
      <c r="K206" s="28"/>
      <c r="L206" s="28"/>
      <c r="M206" s="28"/>
      <c r="N206" s="28"/>
      <c r="O206" s="28"/>
      <c r="P206" s="28"/>
      <c r="Q206" s="28"/>
      <c r="R206" s="12"/>
      <c r="S206" s="12"/>
      <c r="T206" s="12"/>
    </row>
    <row r="207" spans="1:22">
      <c r="A207" s="209" t="s">
        <v>74</v>
      </c>
      <c r="B207" s="172"/>
      <c r="C207" s="518">
        <f>IFERROR(B209/B210,0)</f>
        <v>0</v>
      </c>
      <c r="D207" s="19"/>
      <c r="E207" s="19"/>
      <c r="G207" s="28"/>
      <c r="H207" s="28"/>
      <c r="I207" s="28"/>
      <c r="J207" s="28"/>
      <c r="K207" s="28"/>
      <c r="L207" s="28"/>
      <c r="M207" s="28"/>
      <c r="N207" s="28"/>
      <c r="O207" s="28"/>
      <c r="P207" s="28"/>
      <c r="Q207" s="28"/>
      <c r="R207" s="12"/>
      <c r="S207" s="12"/>
      <c r="T207" s="12"/>
    </row>
    <row r="208" spans="1:22">
      <c r="A208" s="141" t="s">
        <v>75</v>
      </c>
      <c r="B208" s="141">
        <f>IF(ISBLANK(AFin!C50),AFin!F50,AFin!C50)</f>
        <v>0</v>
      </c>
      <c r="C208" s="19"/>
      <c r="D208" s="19"/>
      <c r="E208" s="19"/>
      <c r="G208" s="12"/>
      <c r="H208" s="28"/>
      <c r="I208" s="28"/>
      <c r="J208" s="28"/>
      <c r="K208" s="28"/>
      <c r="L208" s="28"/>
      <c r="M208" s="28"/>
      <c r="N208" s="28"/>
      <c r="O208" s="28"/>
      <c r="P208" s="28"/>
      <c r="Q208" s="28"/>
      <c r="R208" s="12"/>
      <c r="S208" s="12"/>
      <c r="T208" s="12"/>
    </row>
    <row r="209" spans="1:20">
      <c r="A209" s="141" t="s">
        <v>76</v>
      </c>
      <c r="B209" s="141">
        <f>IF(ISBLANK(AFin!C52),AFin!F52,AFin!C52)</f>
        <v>0</v>
      </c>
      <c r="C209" s="19"/>
      <c r="D209" s="19"/>
      <c r="E209" s="19"/>
      <c r="G209" s="12"/>
      <c r="H209" s="28"/>
      <c r="I209" s="28"/>
      <c r="J209" s="28"/>
      <c r="K209" s="28"/>
      <c r="L209" s="28"/>
      <c r="M209" s="28"/>
      <c r="N209" s="28"/>
      <c r="O209" s="28"/>
      <c r="P209" s="28"/>
      <c r="Q209" s="28"/>
      <c r="R209" s="12"/>
      <c r="S209" s="12"/>
      <c r="T209" s="12"/>
    </row>
    <row r="210" spans="1:20">
      <c r="A210" s="141" t="s">
        <v>77</v>
      </c>
      <c r="B210" s="141">
        <f>B208+B209</f>
        <v>0</v>
      </c>
      <c r="C210" s="19"/>
      <c r="D210" s="19"/>
      <c r="E210" s="19"/>
      <c r="G210" s="12"/>
      <c r="H210" s="28"/>
      <c r="I210" s="28"/>
      <c r="J210" s="28"/>
      <c r="K210" s="28"/>
      <c r="L210" s="28"/>
      <c r="M210" s="28"/>
      <c r="N210" s="28"/>
      <c r="O210" s="28"/>
      <c r="P210" s="28"/>
      <c r="Q210" s="28"/>
      <c r="R210" s="12"/>
      <c r="S210" s="12"/>
      <c r="T210" s="12"/>
    </row>
    <row r="211" spans="1:20">
      <c r="A211" s="19"/>
      <c r="B211" s="19"/>
      <c r="C211" s="19"/>
      <c r="D211" s="19"/>
      <c r="E211" s="19"/>
      <c r="H211" s="19"/>
      <c r="I211" s="28"/>
      <c r="J211" s="28"/>
      <c r="K211" s="28"/>
      <c r="L211" s="28"/>
      <c r="M211" s="28"/>
      <c r="N211" s="19"/>
      <c r="O211" s="19"/>
      <c r="P211" s="19"/>
      <c r="Q211" s="19"/>
    </row>
    <row r="212" spans="1:20">
      <c r="A212" s="1081" t="str">
        <f>VLOOKUP(TRUE,A213:H217,2,FALSE)</f>
        <v>Vieillissement important des installations. L'entreprise doit prévoir de les remplacer très prochainement.</v>
      </c>
      <c r="B212" s="1081"/>
      <c r="C212" s="1081"/>
      <c r="D212" s="1081"/>
      <c r="E212" s="1081"/>
      <c r="F212" s="1081"/>
      <c r="G212" s="1081"/>
      <c r="H212" s="1081"/>
      <c r="I212" s="28"/>
      <c r="J212" s="28"/>
      <c r="K212" s="28"/>
      <c r="L212" s="28"/>
      <c r="M212" s="28"/>
      <c r="N212" s="19"/>
      <c r="O212" s="19"/>
      <c r="P212" s="19"/>
      <c r="Q212" s="19"/>
    </row>
    <row r="213" spans="1:20">
      <c r="A213" s="340" t="b">
        <f>IF(C207&lt;0.2,TRUE,FALSE)</f>
        <v>1</v>
      </c>
      <c r="B213" s="1080" t="str">
        <f>"Vieillissement important des installations. L'entreprise doit prévoir de les remplacer très prochainement."</f>
        <v>Vieillissement important des installations. L'entreprise doit prévoir de les remplacer très prochainement.</v>
      </c>
      <c r="C213" s="1080"/>
      <c r="D213" s="1080"/>
      <c r="E213" s="1080"/>
      <c r="F213" s="1080"/>
      <c r="G213" s="1080"/>
      <c r="H213" s="1080"/>
      <c r="I213" s="28"/>
      <c r="J213" s="28"/>
      <c r="K213" s="28"/>
      <c r="L213" s="28"/>
      <c r="M213" s="28"/>
      <c r="N213" s="19"/>
      <c r="O213" s="19"/>
      <c r="P213" s="19"/>
      <c r="Q213" s="19"/>
    </row>
    <row r="214" spans="1:20">
      <c r="A214" s="341"/>
      <c r="B214" s="1080"/>
      <c r="C214" s="1080"/>
      <c r="D214" s="1080"/>
      <c r="E214" s="1080"/>
      <c r="F214" s="1080"/>
      <c r="G214" s="1080"/>
      <c r="H214" s="1080"/>
      <c r="I214" s="28"/>
      <c r="J214" s="28"/>
      <c r="K214" s="28"/>
      <c r="L214" s="28"/>
      <c r="M214" s="28"/>
      <c r="N214" s="19"/>
      <c r="O214" s="19"/>
      <c r="P214" s="19"/>
      <c r="Q214" s="19"/>
    </row>
    <row r="215" spans="1:20">
      <c r="A215" s="141" t="b">
        <f>IF(AND(C207&gt;=0.2,C207&lt;0.5),TRUE,FALSE)</f>
        <v>0</v>
      </c>
      <c r="B215" s="1080" t="str">
        <f>"Vieillissement des installations. L'entreprise doit prévoir de les remplacer prochainement."</f>
        <v>Vieillissement des installations. L'entreprise doit prévoir de les remplacer prochainement.</v>
      </c>
      <c r="C215" s="1080"/>
      <c r="D215" s="1080"/>
      <c r="E215" s="1080"/>
      <c r="F215" s="1080"/>
      <c r="G215" s="1080"/>
      <c r="H215" s="1080"/>
      <c r="I215" s="28"/>
      <c r="J215" s="28"/>
      <c r="K215" s="28"/>
      <c r="L215" s="28"/>
      <c r="M215" s="28"/>
      <c r="N215" s="19"/>
      <c r="O215" s="19"/>
      <c r="P215" s="19"/>
      <c r="Q215" s="19"/>
    </row>
    <row r="216" spans="1:20">
      <c r="A216" s="141" t="b">
        <f>IF(AND(C207&gt;=0.5,C207&lt;0.8),TRUE,FALSE)</f>
        <v>0</v>
      </c>
      <c r="B216" s="1080" t="str">
        <f>"Les investissements sont assez récents."</f>
        <v>Les investissements sont assez récents.</v>
      </c>
      <c r="C216" s="1080"/>
      <c r="D216" s="1080"/>
      <c r="E216" s="1080"/>
      <c r="F216" s="1080"/>
      <c r="G216" s="1080"/>
      <c r="H216" s="1080"/>
      <c r="I216" s="28"/>
      <c r="J216" s="28"/>
      <c r="K216" s="28"/>
      <c r="L216" s="28"/>
      <c r="M216" s="28"/>
      <c r="N216" s="19"/>
      <c r="O216" s="19"/>
      <c r="P216" s="19"/>
      <c r="Q216" s="19"/>
    </row>
    <row r="217" spans="1:20">
      <c r="A217" s="141" t="b">
        <f>IF(C207&gt;0.8,TRUE,FALSE)</f>
        <v>0</v>
      </c>
      <c r="B217" s="1080" t="str">
        <f>"Les investissements sont récents."</f>
        <v>Les investissements sont récents.</v>
      </c>
      <c r="C217" s="1080"/>
      <c r="D217" s="1080"/>
      <c r="E217" s="1080"/>
      <c r="F217" s="1080"/>
      <c r="G217" s="1080"/>
      <c r="H217" s="1080"/>
      <c r="I217" s="28"/>
      <c r="J217" s="28"/>
      <c r="K217" s="28"/>
      <c r="L217" s="28"/>
      <c r="M217" s="28"/>
      <c r="N217" s="19"/>
      <c r="O217" s="19"/>
      <c r="P217" s="19"/>
      <c r="Q217" s="19"/>
    </row>
    <row r="218" spans="1:20">
      <c r="A218" s="19"/>
      <c r="B218" s="19"/>
      <c r="C218" s="19"/>
      <c r="D218" s="19"/>
      <c r="E218" s="19"/>
      <c r="F218" s="19"/>
      <c r="G218" s="19"/>
      <c r="H218" s="19"/>
      <c r="I218" s="28"/>
      <c r="J218" s="28"/>
      <c r="K218" s="28"/>
      <c r="L218" s="28"/>
      <c r="M218" s="28"/>
      <c r="N218" s="19"/>
      <c r="O218" s="19"/>
      <c r="P218" s="19"/>
      <c r="Q218" s="19"/>
    </row>
    <row r="219" spans="1:20">
      <c r="A219" s="209" t="s">
        <v>81</v>
      </c>
      <c r="B219" s="155">
        <f>(B108+C221+B208+C220)-B210</f>
        <v>0</v>
      </c>
      <c r="C219" s="19"/>
      <c r="D219" s="19"/>
      <c r="G219" s="28"/>
      <c r="H219" s="28"/>
      <c r="I219" s="19"/>
      <c r="J219" s="19"/>
      <c r="K219" s="19"/>
      <c r="L219" s="19"/>
      <c r="M219" s="19"/>
      <c r="N219" s="19"/>
      <c r="O219" s="19"/>
      <c r="P219" s="19"/>
      <c r="Q219" s="19"/>
    </row>
    <row r="220" spans="1:20">
      <c r="A220" s="20" t="s">
        <v>79</v>
      </c>
      <c r="B220" s="21"/>
      <c r="C220" s="141">
        <f>IF(ISBLANK(AFin!C85),AFin!F85,AFin!C85)</f>
        <v>0</v>
      </c>
      <c r="D220" s="19"/>
      <c r="G220" s="12"/>
      <c r="H220" s="28"/>
      <c r="I220" s="19"/>
      <c r="J220" s="19"/>
      <c r="K220" s="19"/>
      <c r="L220" s="19"/>
      <c r="M220" s="19"/>
      <c r="N220" s="19"/>
      <c r="O220" s="19"/>
      <c r="P220" s="19"/>
      <c r="Q220" s="19"/>
    </row>
    <row r="221" spans="1:20">
      <c r="A221" s="20" t="s">
        <v>80</v>
      </c>
      <c r="B221" s="21"/>
      <c r="C221" s="141">
        <f>+B123</f>
        <v>0</v>
      </c>
      <c r="D221" s="19"/>
      <c r="H221" s="19"/>
      <c r="I221" s="19"/>
      <c r="J221" s="19"/>
      <c r="K221" s="19"/>
      <c r="L221" s="19"/>
      <c r="M221" s="19"/>
      <c r="N221" s="19"/>
      <c r="O221" s="19"/>
      <c r="P221" s="19"/>
      <c r="Q221" s="19"/>
    </row>
    <row r="222" spans="1:20">
      <c r="A222" s="19"/>
      <c r="B222" s="19"/>
      <c r="C222" s="19"/>
      <c r="D222" s="19"/>
      <c r="H222" s="19"/>
      <c r="I222" s="19"/>
      <c r="J222" s="19"/>
      <c r="K222" s="19"/>
      <c r="L222" s="19"/>
      <c r="M222" s="19"/>
      <c r="N222" s="19"/>
      <c r="O222" s="19"/>
      <c r="P222" s="19"/>
      <c r="Q222" s="19"/>
    </row>
    <row r="223" spans="1:20">
      <c r="A223" s="398">
        <f>VLOOKUP(TRUE,A225:H230,2,FALSE)</f>
        <v>0</v>
      </c>
      <c r="B223" s="1076" t="str">
        <f>VLOOKUP(TRUE,A225:H230,3,FALSE)</f>
        <v>On constate un fonds de roulement nul : les ressources stables couvrent les emplois sans qu'un excédent ne soit généré.</v>
      </c>
      <c r="C223" s="1076"/>
      <c r="D223" s="1076"/>
      <c r="E223" s="1076"/>
      <c r="F223" s="1076"/>
      <c r="G223" s="1076"/>
      <c r="H223" s="1076"/>
      <c r="I223" s="19"/>
      <c r="J223" s="19"/>
      <c r="K223" s="19"/>
      <c r="L223" s="19"/>
      <c r="M223" s="19"/>
      <c r="N223" s="19"/>
      <c r="O223" s="19"/>
      <c r="P223" s="19"/>
      <c r="Q223" s="19"/>
    </row>
    <row r="224" spans="1:20">
      <c r="A224" s="397"/>
      <c r="B224" s="1076"/>
      <c r="C224" s="1076"/>
      <c r="D224" s="1076"/>
      <c r="E224" s="1076"/>
      <c r="F224" s="1076"/>
      <c r="G224" s="1076"/>
      <c r="H224" s="1076"/>
      <c r="I224" s="19"/>
      <c r="J224" s="19"/>
      <c r="K224" s="19"/>
      <c r="L224" s="19"/>
      <c r="M224" s="19"/>
      <c r="N224" s="19"/>
      <c r="O224" s="19"/>
      <c r="P224" s="19"/>
      <c r="Q224" s="19"/>
    </row>
    <row r="225" spans="1:17">
      <c r="A225" s="340" t="b">
        <f>IF(B219&gt;0,TRUE,FALSE)</f>
        <v>0</v>
      </c>
      <c r="B225" s="19">
        <v>1</v>
      </c>
      <c r="C225" s="1080" t="s">
        <v>136</v>
      </c>
      <c r="D225" s="1080"/>
      <c r="E225" s="1080"/>
      <c r="F225" s="1080"/>
      <c r="G225" s="1080"/>
      <c r="H225" s="1080"/>
      <c r="I225" s="19"/>
      <c r="J225" s="19"/>
      <c r="K225" s="19"/>
      <c r="L225" s="19"/>
      <c r="M225" s="19"/>
      <c r="N225" s="19"/>
      <c r="O225" s="19"/>
      <c r="P225" s="19"/>
      <c r="Q225" s="19"/>
    </row>
    <row r="226" spans="1:17">
      <c r="A226" s="341"/>
      <c r="B226" s="19"/>
      <c r="C226" s="1080"/>
      <c r="D226" s="1080"/>
      <c r="E226" s="1080"/>
      <c r="F226" s="1080"/>
      <c r="G226" s="1080"/>
      <c r="H226" s="1080"/>
      <c r="I226" s="19"/>
      <c r="J226" s="19"/>
      <c r="K226" s="19"/>
      <c r="L226" s="19"/>
      <c r="M226" s="19"/>
      <c r="N226" s="19"/>
      <c r="O226" s="19"/>
      <c r="P226" s="19"/>
      <c r="Q226" s="19"/>
    </row>
    <row r="227" spans="1:17">
      <c r="A227" s="340" t="b">
        <f>IF(B219=0,TRUE,FALSE)</f>
        <v>1</v>
      </c>
      <c r="B227" s="340">
        <v>0</v>
      </c>
      <c r="C227" s="1080" t="s">
        <v>134</v>
      </c>
      <c r="D227" s="1080"/>
      <c r="E227" s="1080"/>
      <c r="F227" s="1080"/>
      <c r="G227" s="1080"/>
      <c r="H227" s="1080"/>
      <c r="I227" s="19"/>
      <c r="J227" s="19"/>
      <c r="K227" s="19"/>
      <c r="L227" s="19"/>
      <c r="M227" s="19"/>
      <c r="N227" s="19"/>
      <c r="O227" s="19"/>
      <c r="P227" s="19"/>
      <c r="Q227" s="19"/>
    </row>
    <row r="228" spans="1:17">
      <c r="A228" s="341"/>
      <c r="B228" s="341"/>
      <c r="C228" s="1080"/>
      <c r="D228" s="1080"/>
      <c r="E228" s="1080"/>
      <c r="F228" s="1080"/>
      <c r="G228" s="1080"/>
      <c r="H228" s="1080"/>
      <c r="I228" s="19"/>
      <c r="J228" s="19"/>
      <c r="K228" s="19"/>
      <c r="L228" s="19"/>
      <c r="M228" s="19"/>
      <c r="N228" s="19"/>
      <c r="O228" s="19"/>
      <c r="P228" s="19"/>
      <c r="Q228" s="19"/>
    </row>
    <row r="229" spans="1:17">
      <c r="A229" s="340" t="b">
        <f>IF(B219&lt;0,TRUE,FALSE)</f>
        <v>0</v>
      </c>
      <c r="B229" s="340">
        <v>-1</v>
      </c>
      <c r="C229" s="1080" t="s">
        <v>135</v>
      </c>
      <c r="D229" s="1080"/>
      <c r="E229" s="1080"/>
      <c r="F229" s="1080"/>
      <c r="G229" s="1080"/>
      <c r="H229" s="1080"/>
      <c r="I229" s="19"/>
      <c r="J229" s="19"/>
      <c r="K229" s="19"/>
      <c r="L229" s="19"/>
      <c r="M229" s="19"/>
      <c r="N229" s="19"/>
      <c r="O229" s="19"/>
      <c r="P229" s="19"/>
      <c r="Q229" s="19"/>
    </row>
    <row r="230" spans="1:17">
      <c r="A230" s="341"/>
      <c r="B230" s="341"/>
      <c r="C230" s="1080"/>
      <c r="D230" s="1080"/>
      <c r="E230" s="1080"/>
      <c r="F230" s="1080"/>
      <c r="G230" s="1080"/>
      <c r="H230" s="1080"/>
      <c r="I230" s="19"/>
      <c r="J230" s="19"/>
      <c r="K230" s="19"/>
      <c r="L230" s="19"/>
      <c r="M230" s="19"/>
      <c r="N230" s="19"/>
      <c r="O230" s="19"/>
      <c r="P230" s="19"/>
      <c r="Q230" s="19"/>
    </row>
    <row r="231" spans="1:17">
      <c r="A231" s="17"/>
      <c r="B231" s="17"/>
      <c r="C231" s="418"/>
      <c r="D231" s="418"/>
      <c r="E231" s="418"/>
      <c r="F231" s="418"/>
      <c r="G231" s="418"/>
      <c r="H231" s="418"/>
      <c r="I231" s="19"/>
      <c r="J231" s="19"/>
      <c r="K231" s="19"/>
      <c r="L231" s="19"/>
      <c r="M231" s="19"/>
      <c r="N231" s="19"/>
      <c r="O231" s="19"/>
      <c r="P231" s="19"/>
      <c r="Q231" s="19"/>
    </row>
    <row r="232" spans="1:17">
      <c r="A232" s="17"/>
      <c r="B232" s="17"/>
      <c r="C232" s="19"/>
      <c r="D232" s="19"/>
      <c r="E232" s="19"/>
      <c r="F232" s="329" t="s">
        <v>140</v>
      </c>
      <c r="G232" s="19"/>
      <c r="H232" s="418"/>
      <c r="I232" s="19"/>
      <c r="J232" s="19"/>
      <c r="K232" s="19"/>
      <c r="L232" s="19"/>
      <c r="M232" s="19"/>
      <c r="N232" s="19"/>
      <c r="O232" s="19"/>
      <c r="P232" s="19"/>
      <c r="Q232" s="19"/>
    </row>
    <row r="233" spans="1:17">
      <c r="A233" s="17"/>
      <c r="B233" s="17"/>
      <c r="C233" s="141" t="str">
        <f>IF(B219&gt;0,"FRNG positif","FRNG négatif")</f>
        <v>FRNG négatif</v>
      </c>
      <c r="D233" s="141">
        <f>B219</f>
        <v>0</v>
      </c>
      <c r="E233" s="141">
        <f>IF(D233&gt;0,D233,-D233)</f>
        <v>0</v>
      </c>
      <c r="F233" s="141">
        <f>IF(G233=0,E233,0)</f>
        <v>0</v>
      </c>
      <c r="G233" s="141">
        <f>IF(MAX(E$233:E$235)=E233,E233,0)</f>
        <v>0</v>
      </c>
      <c r="H233" s="418"/>
      <c r="I233" s="19"/>
      <c r="J233" s="19"/>
      <c r="K233" s="19"/>
      <c r="L233" s="19"/>
      <c r="M233" s="19"/>
      <c r="N233" s="19"/>
      <c r="O233" s="19"/>
      <c r="P233" s="19"/>
      <c r="Q233" s="19"/>
    </row>
    <row r="234" spans="1:17">
      <c r="A234" s="17"/>
      <c r="B234" s="17"/>
      <c r="C234" s="141" t="s">
        <v>117</v>
      </c>
      <c r="D234" s="141">
        <f>B108+B208+C220+C221</f>
        <v>0</v>
      </c>
      <c r="E234" s="141">
        <f t="shared" ref="E234:E235" si="5">IF(D234&gt;0,D234,-D234)</f>
        <v>0</v>
      </c>
      <c r="F234" s="141">
        <f t="shared" ref="F234:F235" si="6">IF(G234=0,E234,0)</f>
        <v>0</v>
      </c>
      <c r="G234" s="141">
        <f>IF(MAX(E$233:E$235)=E234,E234,0)</f>
        <v>0</v>
      </c>
      <c r="H234" s="418"/>
      <c r="I234" s="19"/>
      <c r="J234" s="19"/>
      <c r="K234" s="19"/>
      <c r="L234" s="19"/>
      <c r="M234" s="19"/>
      <c r="N234" s="19"/>
      <c r="O234" s="19"/>
      <c r="P234" s="19"/>
      <c r="Q234" s="19"/>
    </row>
    <row r="235" spans="1:17">
      <c r="A235" s="17"/>
      <c r="B235" s="17"/>
      <c r="C235" s="141" t="s">
        <v>118</v>
      </c>
      <c r="D235" s="141">
        <f>B210</f>
        <v>0</v>
      </c>
      <c r="E235" s="141">
        <f t="shared" si="5"/>
        <v>0</v>
      </c>
      <c r="F235" s="141">
        <f t="shared" si="6"/>
        <v>0</v>
      </c>
      <c r="G235" s="141">
        <f>IF(MAX(E$233:E$235)=E235,E235,0)</f>
        <v>0</v>
      </c>
      <c r="H235" s="418"/>
      <c r="I235" s="19"/>
      <c r="J235" s="19"/>
      <c r="K235" s="19"/>
      <c r="L235" s="19"/>
      <c r="M235" s="19"/>
      <c r="N235" s="19"/>
      <c r="O235" s="19"/>
      <c r="P235" s="19"/>
      <c r="Q235" s="19"/>
    </row>
    <row r="236" spans="1:17">
      <c r="A236" s="19"/>
      <c r="B236" s="19"/>
      <c r="C236" s="19"/>
      <c r="D236" s="19"/>
      <c r="E236" s="19"/>
      <c r="F236" s="19"/>
      <c r="G236" s="19"/>
      <c r="H236" s="19"/>
      <c r="I236" s="19"/>
      <c r="J236" s="19"/>
      <c r="K236" s="19"/>
      <c r="L236" s="19"/>
      <c r="M236" s="19"/>
      <c r="N236" s="19"/>
      <c r="O236" s="19"/>
      <c r="P236" s="19"/>
      <c r="Q236" s="19"/>
    </row>
    <row r="237" spans="1:17">
      <c r="A237" s="209" t="s">
        <v>5</v>
      </c>
      <c r="B237" s="155">
        <f>B238+B239+B240+B211-B218-B241-B242</f>
        <v>0</v>
      </c>
      <c r="C237" s="19"/>
      <c r="D237" s="19"/>
      <c r="E237" s="19"/>
      <c r="F237" s="19"/>
      <c r="G237" s="19"/>
      <c r="H237" s="19"/>
      <c r="I237" s="28"/>
      <c r="J237" s="28"/>
      <c r="K237" s="28"/>
      <c r="L237" s="28"/>
      <c r="M237" s="28"/>
      <c r="N237" s="28"/>
      <c r="O237" s="19"/>
      <c r="P237" s="19"/>
      <c r="Q237" s="19"/>
    </row>
    <row r="238" spans="1:17">
      <c r="A238" s="141" t="s">
        <v>87</v>
      </c>
      <c r="B238" s="141">
        <f>IF(ISBLANK(AFin!C55),AFin!F55+AFin!F57+AFin!F59+AFin!F61+AFin!F63,AFin!C55)</f>
        <v>0</v>
      </c>
      <c r="C238" s="19"/>
      <c r="D238" s="19"/>
      <c r="E238" s="19"/>
      <c r="F238" s="19" t="s">
        <v>140</v>
      </c>
      <c r="G238" s="19"/>
      <c r="H238" s="19"/>
      <c r="I238" s="28"/>
      <c r="J238" s="28"/>
      <c r="K238" s="28"/>
      <c r="L238" s="28"/>
      <c r="M238" s="28"/>
      <c r="N238" s="28"/>
      <c r="O238" s="19"/>
      <c r="P238" s="19"/>
      <c r="Q238" s="19"/>
    </row>
    <row r="239" spans="1:17">
      <c r="A239" s="141" t="s">
        <v>88</v>
      </c>
      <c r="B239" s="141">
        <f>IF(ISBLANK(AFin!C67),AFin!F67,AFin!C67)</f>
        <v>0</v>
      </c>
      <c r="C239" s="19"/>
      <c r="D239" s="141" t="str">
        <f>IF(B250&gt;0,"Besoin FR","Excédent FR")</f>
        <v>Excédent FR</v>
      </c>
      <c r="E239" s="141">
        <f>IF(B250&gt;0,B250,-B250)</f>
        <v>0</v>
      </c>
      <c r="F239" s="141">
        <f>IF(G239=0,E239,0)</f>
        <v>0</v>
      </c>
      <c r="G239" s="141">
        <f>IF(MAX(E$239:E$241)=E239,E239,0)</f>
        <v>0</v>
      </c>
      <c r="H239" s="19"/>
      <c r="I239" s="19"/>
      <c r="J239" s="19"/>
      <c r="K239" s="19"/>
      <c r="P239" s="19"/>
      <c r="Q239" s="19"/>
    </row>
    <row r="240" spans="1:17">
      <c r="A240" s="141" t="str">
        <f>AFin!A65</f>
        <v>Avances et acomptes fourn</v>
      </c>
      <c r="B240" s="141">
        <f>IF(ISBLANK(AFin!C65),AFin!F65,AFin!C65)</f>
        <v>0</v>
      </c>
      <c r="C240" s="19"/>
      <c r="D240" s="141" t="str">
        <f>IF(B237&gt;0,"BFRExploitation","EFRExploitation")</f>
        <v>EFRExploitation</v>
      </c>
      <c r="E240" s="141">
        <f>IF(B237&gt;0,B237,-B237)</f>
        <v>0</v>
      </c>
      <c r="F240" s="141">
        <f t="shared" ref="F240:F241" si="7">IF(G240=0,E240,0)</f>
        <v>0</v>
      </c>
      <c r="G240" s="141">
        <f>IF(MAX(E$239:E$241)=E240,E240,0)</f>
        <v>0</v>
      </c>
      <c r="H240" s="254"/>
      <c r="I240" s="19"/>
      <c r="J240" s="19"/>
      <c r="K240" s="19"/>
      <c r="P240" s="19"/>
      <c r="Q240" s="19"/>
    </row>
    <row r="241" spans="1:17">
      <c r="A241" s="141" t="s">
        <v>89</v>
      </c>
      <c r="B241" s="141">
        <f>IF(ISBLANK(AFin!C93),AFin!F93,AFin!C93)</f>
        <v>0</v>
      </c>
      <c r="C241" s="19"/>
      <c r="D241" s="141" t="str">
        <f>IF(B244&gt;0,"BFRHors Expl.","EFRHors Expl.")</f>
        <v>EFRHors Expl.</v>
      </c>
      <c r="E241" s="141">
        <f>IF(B244&gt;0,B244,-B244)</f>
        <v>0</v>
      </c>
      <c r="F241" s="141">
        <f t="shared" si="7"/>
        <v>0</v>
      </c>
      <c r="G241" s="141">
        <f>IF(MAX(E$239:E$241)=E241,E241,0)</f>
        <v>0</v>
      </c>
      <c r="H241" s="487" t="str">
        <f>D240</f>
        <v>EFRExploitation</v>
      </c>
      <c r="I241" s="19"/>
      <c r="J241" s="19"/>
      <c r="K241" s="19"/>
      <c r="P241" s="19"/>
      <c r="Q241" s="19"/>
    </row>
    <row r="242" spans="1:17">
      <c r="A242" s="141" t="str">
        <f>AFin!A91</f>
        <v>Avances et acomptes clients</v>
      </c>
      <c r="B242" s="141">
        <f>IF(ISBLANK(AFin!C91),AFin!F91,AFin!C91)</f>
        <v>0</v>
      </c>
      <c r="C242" s="19"/>
      <c r="D242" s="19"/>
      <c r="E242" s="19"/>
      <c r="F242" s="17"/>
      <c r="G242" s="28" t="str">
        <f>VLOOKUP(MAX(G240:G241),G241:H242,2,FALSE)</f>
        <v>EFRExploitation</v>
      </c>
      <c r="H242" s="487" t="str">
        <f>D241</f>
        <v>EFRHors Expl.</v>
      </c>
      <c r="I242" s="19"/>
      <c r="P242" s="19"/>
      <c r="Q242" s="19"/>
    </row>
    <row r="243" spans="1:17">
      <c r="A243" s="19"/>
      <c r="B243" s="19"/>
      <c r="C243" s="19"/>
      <c r="D243" s="28"/>
      <c r="E243" s="28"/>
      <c r="F243" s="28"/>
      <c r="G243" s="28">
        <f>IFERROR(VLOOKUP(SMALL(F240:F241,COUNTIF(F240:F241,0)+1),F241:H242,3,FALSE),0)</f>
        <v>0</v>
      </c>
      <c r="H243" s="423"/>
      <c r="I243" s="28"/>
      <c r="J243" s="12"/>
      <c r="K243" s="12"/>
      <c r="P243" s="19"/>
      <c r="Q243" s="19"/>
    </row>
    <row r="244" spans="1:17">
      <c r="A244" s="209" t="s">
        <v>90</v>
      </c>
      <c r="B244" s="155">
        <f>B245+B246-B247-B248</f>
        <v>0</v>
      </c>
      <c r="C244" s="19"/>
      <c r="D244" s="28"/>
      <c r="E244" s="416" t="s">
        <v>149</v>
      </c>
      <c r="F244" s="416" t="s">
        <v>150</v>
      </c>
      <c r="G244" s="416" t="s">
        <v>151</v>
      </c>
      <c r="H244" s="423"/>
      <c r="I244" s="28"/>
      <c r="J244" s="12"/>
      <c r="K244" s="12"/>
      <c r="L244" s="12"/>
      <c r="O244" s="19"/>
      <c r="P244" s="19"/>
      <c r="Q244" s="19"/>
    </row>
    <row r="245" spans="1:17">
      <c r="A245" s="141" t="s">
        <v>83</v>
      </c>
      <c r="B245" s="141">
        <f>IF(ISBLANK(AFin!C69),AFin!F69,AFin!C69)</f>
        <v>0</v>
      </c>
      <c r="C245" s="19"/>
      <c r="D245" s="150" t="s">
        <v>572</v>
      </c>
      <c r="E245" s="150">
        <f>IF(B250&lt;0,2,0)</f>
        <v>0</v>
      </c>
      <c r="F245" s="150">
        <f>IF(B237&lt;0,1,0)</f>
        <v>0</v>
      </c>
      <c r="G245" s="150">
        <f>IF(B244&lt;0,0.5,0)</f>
        <v>0</v>
      </c>
      <c r="H245" s="423"/>
      <c r="I245" s="28"/>
      <c r="J245" s="12"/>
      <c r="K245" s="12"/>
      <c r="L245" s="12"/>
      <c r="O245" s="254"/>
      <c r="P245" s="19"/>
      <c r="Q245" s="19"/>
    </row>
    <row r="246" spans="1:17">
      <c r="A246" s="141" t="s">
        <v>95</v>
      </c>
      <c r="B246" s="141">
        <f>IF(ISBLANK(AFin!C75),AFin!F75,AFin!C75)</f>
        <v>0</v>
      </c>
      <c r="C246" s="19"/>
      <c r="D246" s="141" t="s">
        <v>372</v>
      </c>
      <c r="E246" s="150">
        <f>IF(B250&gt;0,-2,0)</f>
        <v>0</v>
      </c>
      <c r="F246" s="150">
        <f>IF(B237&gt;0,-1,0)</f>
        <v>0</v>
      </c>
      <c r="G246" s="150">
        <f>IF(B244&gt;0,-0.5,0)</f>
        <v>0</v>
      </c>
      <c r="H246" s="494">
        <f>SUM(K249:N250)</f>
        <v>0</v>
      </c>
      <c r="I246" s="28"/>
      <c r="J246" s="28"/>
      <c r="K246" s="28"/>
      <c r="L246" s="28"/>
      <c r="M246" s="19"/>
      <c r="N246" s="19"/>
      <c r="O246" s="254"/>
      <c r="P246" s="19"/>
      <c r="Q246" s="19"/>
    </row>
    <row r="247" spans="1:17">
      <c r="A247" s="141" t="s">
        <v>91</v>
      </c>
      <c r="B247" s="141">
        <f>IF(ISBLANK(AFin!C95),AFin!F95-AFin!F79+AFin!G95+AFin!H95,AFin!C95)</f>
        <v>0</v>
      </c>
      <c r="C247" s="19"/>
      <c r="D247" s="19"/>
      <c r="E247" s="28"/>
      <c r="F247" s="28"/>
      <c r="G247" s="28"/>
      <c r="H247" s="28"/>
      <c r="I247" s="28"/>
      <c r="J247" s="28"/>
      <c r="K247" s="28"/>
      <c r="L247" s="28"/>
      <c r="M247" s="19"/>
      <c r="N247" s="19"/>
      <c r="O247" s="19"/>
      <c r="P247" s="19"/>
      <c r="Q247" s="19"/>
    </row>
    <row r="248" spans="1:17">
      <c r="A248" s="141" t="s">
        <v>96</v>
      </c>
      <c r="B248" s="141">
        <f>IF(ISBLANK(AFin!C97),AFin!F97,)</f>
        <v>0</v>
      </c>
      <c r="C248" s="19"/>
      <c r="E248" s="28"/>
      <c r="F248" s="28"/>
      <c r="G248" s="28"/>
      <c r="H248" s="28"/>
      <c r="I248" s="460"/>
      <c r="J248" s="12"/>
      <c r="K248" s="12"/>
      <c r="L248" s="12"/>
      <c r="N248" s="28"/>
      <c r="O248" s="19"/>
      <c r="P248" s="19"/>
      <c r="Q248" s="19"/>
    </row>
    <row r="249" spans="1:17">
      <c r="A249" s="19"/>
      <c r="B249" s="19"/>
      <c r="C249" s="19"/>
      <c r="D249" s="28"/>
      <c r="E249" s="28"/>
      <c r="F249" s="28"/>
      <c r="G249" s="28"/>
      <c r="H249" s="28"/>
      <c r="I249" s="28"/>
      <c r="J249" s="12"/>
      <c r="K249" s="12"/>
      <c r="L249" s="12"/>
      <c r="N249" s="28"/>
      <c r="O249" s="19"/>
      <c r="P249" s="19"/>
      <c r="Q249" s="19"/>
    </row>
    <row r="250" spans="1:17">
      <c r="A250" s="209" t="s">
        <v>92</v>
      </c>
      <c r="B250" s="391">
        <f>B237+B244</f>
        <v>0</v>
      </c>
      <c r="D250" s="534" t="e">
        <f>B250/B6*360</f>
        <v>#DIV/0!</v>
      </c>
      <c r="E250" s="532" t="s">
        <v>6</v>
      </c>
      <c r="F250" s="533"/>
      <c r="G250" s="533"/>
      <c r="H250" s="28"/>
      <c r="I250" s="28"/>
      <c r="J250" s="12"/>
      <c r="K250" s="12"/>
      <c r="L250" s="12"/>
      <c r="N250" s="28"/>
      <c r="O250" s="19"/>
      <c r="P250" s="19"/>
      <c r="Q250" s="19"/>
    </row>
    <row r="251" spans="1:17">
      <c r="A251" s="19"/>
      <c r="B251" s="535">
        <f>B250</f>
        <v>0</v>
      </c>
      <c r="C251" s="19"/>
      <c r="D251" s="533"/>
      <c r="E251" s="533"/>
      <c r="F251" s="533"/>
      <c r="G251" s="533"/>
      <c r="H251" s="533"/>
      <c r="I251" s="28"/>
      <c r="J251" s="12"/>
      <c r="K251" s="12"/>
      <c r="L251" s="12"/>
      <c r="N251" s="28"/>
      <c r="O251" s="19"/>
      <c r="P251" s="19"/>
      <c r="Q251" s="19"/>
    </row>
    <row r="252" spans="1:17">
      <c r="A252" s="1076" t="e">
        <f>VLOOKUP(TRUE,A255:H260,2,FALSE)</f>
        <v>#N/A</v>
      </c>
      <c r="B252" s="1076"/>
      <c r="C252" s="1076"/>
      <c r="D252" s="1076"/>
      <c r="E252" s="1076"/>
      <c r="F252" s="1076"/>
      <c r="G252" s="1076"/>
      <c r="H252" s="1076"/>
      <c r="I252" s="28"/>
      <c r="J252" s="12"/>
      <c r="K252" s="12"/>
      <c r="L252" s="12"/>
      <c r="N252" s="28"/>
      <c r="O252" s="19"/>
      <c r="P252" s="19"/>
      <c r="Q252" s="19"/>
    </row>
    <row r="253" spans="1:17">
      <c r="A253" s="1076"/>
      <c r="B253" s="1076"/>
      <c r="C253" s="1076"/>
      <c r="D253" s="1076"/>
      <c r="E253" s="1076"/>
      <c r="F253" s="1076"/>
      <c r="G253" s="1076"/>
      <c r="H253" s="1076"/>
      <c r="I253" s="28"/>
      <c r="J253" s="12"/>
      <c r="K253" s="12"/>
      <c r="L253" s="12"/>
      <c r="N253" s="28"/>
      <c r="O253" s="19"/>
      <c r="P253" s="19"/>
      <c r="Q253" s="19"/>
    </row>
    <row r="254" spans="1:17">
      <c r="A254" s="1076"/>
      <c r="B254" s="1076"/>
      <c r="C254" s="1076"/>
      <c r="D254" s="1076"/>
      <c r="E254" s="1076"/>
      <c r="F254" s="1076"/>
      <c r="G254" s="1076"/>
      <c r="H254" s="1076"/>
      <c r="I254" s="28"/>
      <c r="J254" s="12"/>
      <c r="K254" s="12"/>
      <c r="L254" s="12"/>
      <c r="N254" s="28"/>
      <c r="O254" s="19"/>
      <c r="P254" s="19"/>
      <c r="Q254" s="19"/>
    </row>
    <row r="255" spans="1:17">
      <c r="A255" s="340" t="b">
        <f>IF(B250&gt;0,TRUE,FALSE)</f>
        <v>0</v>
      </c>
      <c r="B255" s="1074" t="e">
        <f>"L'entreprise présente un Besoin en Fonds de Roulement, c'est-à-dire que l'argent dont elle dispose mais qui ne lui appartient pas ne couvre pas l'argent qui lui appartient mais dont elle ne dispose pas. Le montant du BFR est de "&amp;B250&amp;" €, soit "&amp;ROUND(D250,0)&amp;" jours de CA HT."</f>
        <v>#DIV/0!</v>
      </c>
      <c r="C255" s="1074"/>
      <c r="D255" s="1074"/>
      <c r="E255" s="1074"/>
      <c r="F255" s="1074"/>
      <c r="G255" s="1074"/>
      <c r="H255" s="1074"/>
      <c r="I255" s="28"/>
      <c r="J255" s="12"/>
      <c r="K255" s="12"/>
      <c r="L255" s="12"/>
      <c r="N255" s="28"/>
      <c r="O255" s="19"/>
      <c r="P255" s="19"/>
      <c r="Q255" s="19"/>
    </row>
    <row r="256" spans="1:17">
      <c r="A256" s="389"/>
      <c r="B256" s="1075"/>
      <c r="C256" s="1075"/>
      <c r="D256" s="1075"/>
      <c r="E256" s="1075"/>
      <c r="F256" s="1075"/>
      <c r="G256" s="1075"/>
      <c r="H256" s="1075"/>
      <c r="I256" s="28"/>
      <c r="J256" s="12"/>
      <c r="K256" s="12"/>
      <c r="L256" s="12"/>
      <c r="N256" s="28"/>
      <c r="O256" s="19"/>
      <c r="P256" s="19"/>
      <c r="Q256" s="19"/>
    </row>
    <row r="257" spans="1:24">
      <c r="A257" s="341"/>
      <c r="B257" s="1075"/>
      <c r="C257" s="1075"/>
      <c r="D257" s="1075"/>
      <c r="E257" s="1075"/>
      <c r="F257" s="1075"/>
      <c r="G257" s="1075"/>
      <c r="H257" s="1075"/>
      <c r="I257" s="28"/>
      <c r="J257" s="12"/>
      <c r="K257" s="12"/>
      <c r="L257" s="12"/>
      <c r="N257" s="28"/>
      <c r="O257" s="19"/>
      <c r="P257" s="19"/>
      <c r="Q257" s="19"/>
    </row>
    <row r="258" spans="1:24" ht="15" customHeight="1">
      <c r="A258" s="340" t="b">
        <f>IF(B250&lt;0,TRUE,FALSE)</f>
        <v>0</v>
      </c>
      <c r="B258" s="1075" t="e">
        <f>"L'entreprise présente un Excédent en Fonds de Roulement, c'est-à-dire que l'argent dont elle dispose mais qui ne lui appartient pas est supérieur à l'argent qui lui appartient mais dont elle ne dispose pas. Le montant de l'EFR est de "&amp;-B250&amp;" €, soit "&amp;ROUND(-D250,0)&amp;" jours de CA HT."</f>
        <v>#DIV/0!</v>
      </c>
      <c r="C258" s="1075"/>
      <c r="D258" s="1075"/>
      <c r="E258" s="1075"/>
      <c r="F258" s="1075"/>
      <c r="G258" s="1075"/>
      <c r="H258" s="1075"/>
      <c r="I258" s="28"/>
      <c r="J258" s="12"/>
      <c r="K258" s="12"/>
      <c r="L258" s="12"/>
      <c r="N258" s="28"/>
      <c r="O258" s="19"/>
      <c r="P258" s="19"/>
      <c r="Q258" s="19"/>
    </row>
    <row r="259" spans="1:24">
      <c r="A259" s="389"/>
      <c r="B259" s="1075"/>
      <c r="C259" s="1075"/>
      <c r="D259" s="1075"/>
      <c r="E259" s="1075"/>
      <c r="F259" s="1075"/>
      <c r="G259" s="1075"/>
      <c r="H259" s="1075"/>
      <c r="I259" s="28"/>
      <c r="J259" s="12"/>
      <c r="K259" s="12"/>
      <c r="L259" s="12"/>
      <c r="N259" s="28"/>
      <c r="O259" s="19"/>
      <c r="P259" s="19"/>
      <c r="Q259" s="19"/>
    </row>
    <row r="260" spans="1:24">
      <c r="A260" s="341"/>
      <c r="B260" s="1075"/>
      <c r="C260" s="1075"/>
      <c r="D260" s="1075"/>
      <c r="E260" s="1075"/>
      <c r="F260" s="1075"/>
      <c r="G260" s="1075"/>
      <c r="H260" s="1075"/>
      <c r="I260" s="28"/>
      <c r="J260" s="12"/>
      <c r="K260" s="12"/>
      <c r="L260" s="12"/>
      <c r="N260" s="28"/>
      <c r="O260" s="19"/>
      <c r="P260" s="19"/>
      <c r="Q260" s="19"/>
    </row>
    <row r="261" spans="1:24">
      <c r="A261" s="17"/>
      <c r="B261" s="536"/>
      <c r="C261" s="536"/>
      <c r="D261" s="536"/>
      <c r="E261" s="536"/>
      <c r="F261" s="536"/>
      <c r="G261" s="536"/>
      <c r="H261" s="536"/>
      <c r="I261" s="28"/>
      <c r="J261" s="12"/>
      <c r="K261" s="12"/>
      <c r="L261" s="12"/>
      <c r="M261" s="12"/>
      <c r="N261" s="28"/>
      <c r="O261" s="28"/>
      <c r="P261" s="28"/>
      <c r="Q261" s="28"/>
      <c r="R261" s="12"/>
      <c r="S261" s="12"/>
      <c r="T261" s="12"/>
      <c r="U261" s="12"/>
      <c r="V261" s="12"/>
      <c r="W261" s="12"/>
      <c r="X261" s="12"/>
    </row>
    <row r="262" spans="1:24">
      <c r="A262" s="1077" t="str">
        <f>IFERROR(VLOOKUP(TRUE,D249:E249,2,FALSE),"")</f>
        <v/>
      </c>
      <c r="B262" s="1078"/>
      <c r="C262" s="1078"/>
      <c r="D262" s="1078"/>
      <c r="E262" s="1078"/>
      <c r="F262" s="1078"/>
      <c r="G262" s="1078"/>
      <c r="H262" s="1079"/>
      <c r="I262" s="28"/>
      <c r="J262" s="12"/>
      <c r="K262" s="12"/>
      <c r="L262" s="28"/>
      <c r="M262" s="28"/>
      <c r="N262" s="533"/>
      <c r="O262" s="28"/>
      <c r="P262" s="28"/>
      <c r="Q262" s="28"/>
      <c r="R262" s="12"/>
      <c r="S262" s="12"/>
      <c r="T262" s="12"/>
      <c r="U262" s="12"/>
      <c r="V262" s="12"/>
      <c r="W262" s="12"/>
      <c r="X262" s="12"/>
    </row>
    <row r="263" spans="1:24">
      <c r="A263" s="150" t="b">
        <f>IF(AND(D239="Besoin FR",D240="BFRExploitation",E240&gt;E241),TRUE,FALSE)</f>
        <v>0</v>
      </c>
      <c r="B263" s="525" t="s">
        <v>174</v>
      </c>
      <c r="C263" s="537"/>
      <c r="D263" s="537"/>
      <c r="E263" s="537"/>
      <c r="F263" s="537"/>
      <c r="G263" s="537"/>
      <c r="H263" s="538"/>
      <c r="I263" s="28"/>
      <c r="J263" s="12"/>
      <c r="K263" s="12"/>
      <c r="M263" s="28"/>
      <c r="N263" s="28"/>
      <c r="O263" s="28"/>
      <c r="P263" s="28"/>
      <c r="Q263" s="28"/>
      <c r="R263" s="12"/>
      <c r="S263" s="12"/>
      <c r="T263" s="12"/>
      <c r="U263" s="12"/>
      <c r="V263" s="12"/>
      <c r="W263" s="12"/>
      <c r="X263" s="12"/>
    </row>
    <row r="264" spans="1:24">
      <c r="A264" s="150" t="b">
        <f>IF(AND(D240="EFRExploitation",D239="Excédent FR",E240&gt;E241),TRUE,FALSE)</f>
        <v>0</v>
      </c>
      <c r="B264" s="525" t="s">
        <v>175</v>
      </c>
      <c r="C264" s="537"/>
      <c r="D264" s="537"/>
      <c r="E264" s="537"/>
      <c r="F264" s="537"/>
      <c r="G264" s="537"/>
      <c r="H264" s="538"/>
      <c r="I264" s="28"/>
      <c r="J264" s="12"/>
      <c r="K264" s="12"/>
      <c r="L264" s="326"/>
      <c r="M264" s="28"/>
      <c r="N264" s="28"/>
      <c r="O264" s="28"/>
      <c r="P264" s="28"/>
      <c r="Q264" s="28"/>
      <c r="R264" s="12"/>
      <c r="S264" s="12"/>
      <c r="T264" s="12"/>
      <c r="U264" s="12"/>
      <c r="V264" s="12"/>
      <c r="W264" s="12"/>
      <c r="X264" s="12"/>
    </row>
    <row r="265" spans="1:24">
      <c r="A265" s="150" t="b">
        <f>IF(AND(D240="BFRExploitation",D239="Excédent FR",E241&gt;E240),TRUE,FALSE)</f>
        <v>0</v>
      </c>
      <c r="B265" s="525" t="s">
        <v>176</v>
      </c>
      <c r="C265" s="537"/>
      <c r="D265" s="537"/>
      <c r="E265" s="537"/>
      <c r="F265" s="537"/>
      <c r="G265" s="537"/>
      <c r="H265" s="538"/>
      <c r="I265" s="28"/>
      <c r="J265" s="12"/>
      <c r="K265" s="12"/>
      <c r="L265" s="28"/>
      <c r="M265" s="28"/>
      <c r="N265" s="28"/>
      <c r="O265" s="28"/>
      <c r="P265" s="28"/>
      <c r="Q265" s="28"/>
      <c r="R265" s="12"/>
      <c r="S265" s="12"/>
      <c r="T265" s="12"/>
      <c r="U265" s="12"/>
      <c r="V265" s="12"/>
      <c r="W265" s="12"/>
      <c r="X265" s="12"/>
    </row>
    <row r="266" spans="1:24">
      <c r="A266" s="150" t="b">
        <f>IF(AND(D240="EFRExploitation",D239="Besoin FR",E241&gt;E239),TRUE,FALSE)</f>
        <v>0</v>
      </c>
      <c r="B266" s="525" t="s">
        <v>177</v>
      </c>
      <c r="C266" s="537"/>
      <c r="D266" s="537"/>
      <c r="E266" s="537"/>
      <c r="F266" s="537"/>
      <c r="G266" s="537"/>
      <c r="H266" s="538"/>
      <c r="I266" s="28"/>
      <c r="J266" s="12"/>
      <c r="K266" s="12"/>
      <c r="L266" s="28"/>
      <c r="M266" s="28"/>
      <c r="N266" s="28"/>
      <c r="O266" s="28"/>
      <c r="P266" s="28"/>
      <c r="Q266" s="28"/>
      <c r="R266" s="12"/>
      <c r="S266" s="12"/>
      <c r="T266" s="12"/>
      <c r="U266" s="12"/>
      <c r="V266" s="12"/>
      <c r="W266" s="12"/>
      <c r="X266" s="12"/>
    </row>
    <row r="267" spans="1:24">
      <c r="A267" s="17"/>
      <c r="B267" s="536"/>
      <c r="C267" s="536"/>
      <c r="D267" s="536"/>
      <c r="E267" s="536"/>
      <c r="F267" s="536"/>
      <c r="G267" s="536"/>
      <c r="H267" s="536"/>
      <c r="I267" s="28"/>
      <c r="J267" s="12"/>
      <c r="K267" s="12"/>
      <c r="L267" s="28"/>
      <c r="M267" s="28"/>
      <c r="N267" s="28"/>
      <c r="O267" s="28"/>
      <c r="P267" s="28"/>
      <c r="Q267" s="28"/>
      <c r="R267" s="12"/>
      <c r="S267" s="12"/>
      <c r="T267" s="12"/>
      <c r="U267" s="12"/>
      <c r="V267" s="12"/>
      <c r="W267" s="12"/>
      <c r="X267" s="12"/>
    </row>
    <row r="268" spans="1:24">
      <c r="A268" s="209" t="s">
        <v>97</v>
      </c>
      <c r="B268" s="172"/>
      <c r="C268" s="155">
        <f>B219-B250</f>
        <v>0</v>
      </c>
      <c r="D268" s="28"/>
      <c r="E268" s="552" t="e">
        <f>C268/B6*360</f>
        <v>#DIV/0!</v>
      </c>
      <c r="F268" t="s">
        <v>573</v>
      </c>
      <c r="I268" s="28"/>
      <c r="J268" s="12"/>
      <c r="K268" s="12"/>
      <c r="L268" s="12"/>
      <c r="M268" s="12"/>
      <c r="N268" s="28"/>
      <c r="O268" s="28"/>
      <c r="P268" s="28"/>
      <c r="Q268" s="28"/>
      <c r="R268" s="12"/>
      <c r="S268" s="12"/>
      <c r="T268" s="12"/>
      <c r="U268" s="12"/>
      <c r="V268" s="12"/>
      <c r="W268" s="12"/>
      <c r="X268" s="12"/>
    </row>
    <row r="269" spans="1:24">
      <c r="A269" s="19"/>
      <c r="B269" s="19"/>
      <c r="C269" s="329" t="s">
        <v>140</v>
      </c>
      <c r="D269" s="19"/>
      <c r="E269" s="19"/>
      <c r="I269" s="19"/>
      <c r="J269" s="28"/>
      <c r="K269" s="28"/>
      <c r="L269" s="28"/>
      <c r="M269" s="28"/>
      <c r="N269" s="28"/>
      <c r="O269" s="28"/>
      <c r="P269" s="28"/>
      <c r="Q269" s="28"/>
      <c r="R269" s="12"/>
      <c r="S269" s="12"/>
      <c r="T269" s="12"/>
      <c r="U269" s="12"/>
      <c r="V269" s="12"/>
      <c r="W269" s="12"/>
      <c r="X269" s="12"/>
    </row>
    <row r="270" spans="1:24" ht="15" customHeight="1">
      <c r="A270" s="539" t="str">
        <f>IF(C268&gt;0,"Trésorerie positive","Trésorerie négative")</f>
        <v>Trésorerie négative</v>
      </c>
      <c r="B270" s="141">
        <f>IF(C268&gt;0,C268,-C268)</f>
        <v>0</v>
      </c>
      <c r="C270" s="141">
        <f>IF(D270=0,B270,0)</f>
        <v>0</v>
      </c>
      <c r="D270" s="141">
        <f>IF(MAX(B$270:B$272)=B270,B270,0)</f>
        <v>0</v>
      </c>
      <c r="E270" s="19"/>
      <c r="J270" s="533"/>
      <c r="K270" s="533"/>
      <c r="L270" s="533"/>
      <c r="M270" s="533"/>
      <c r="N270" s="533"/>
      <c r="O270" s="28"/>
      <c r="P270" s="28"/>
      <c r="Q270" s="28"/>
      <c r="R270" s="12"/>
      <c r="S270" s="12"/>
      <c r="T270" s="12"/>
      <c r="U270" s="12"/>
      <c r="V270" s="12"/>
      <c r="W270" s="12"/>
      <c r="X270" s="12"/>
    </row>
    <row r="271" spans="1:24">
      <c r="A271" s="141" t="str">
        <f>C233</f>
        <v>FRNG négatif</v>
      </c>
      <c r="B271" s="141">
        <f>IF(B219&gt;0,B219,-B219)</f>
        <v>0</v>
      </c>
      <c r="C271" s="141">
        <f t="shared" ref="C271:C272" si="8">IF(D271=0,B271,0)</f>
        <v>0</v>
      </c>
      <c r="D271" s="141">
        <f t="shared" ref="D271:D272" si="9">IF(MAX(B$270:B$272)=B271,B271,0)</f>
        <v>0</v>
      </c>
      <c r="E271" s="151" t="str">
        <f>A271</f>
        <v>FRNG négatif</v>
      </c>
      <c r="I271" s="533"/>
      <c r="J271" s="533"/>
      <c r="K271" s="533"/>
      <c r="L271" s="533"/>
      <c r="M271" s="533"/>
      <c r="N271" s="533"/>
      <c r="O271" s="28"/>
      <c r="P271" s="28"/>
      <c r="Q271" s="28"/>
      <c r="R271" s="12"/>
      <c r="S271" s="12"/>
      <c r="T271" s="12"/>
      <c r="U271" s="12"/>
      <c r="V271" s="12"/>
      <c r="W271" s="12"/>
      <c r="X271" s="12"/>
    </row>
    <row r="272" spans="1:24">
      <c r="A272" s="141" t="str">
        <f>D239</f>
        <v>Excédent FR</v>
      </c>
      <c r="B272" s="141">
        <f>IF(B250&gt;0,B250,-B250)</f>
        <v>0</v>
      </c>
      <c r="C272" s="141">
        <f t="shared" si="8"/>
        <v>0</v>
      </c>
      <c r="D272" s="141">
        <f t="shared" si="9"/>
        <v>0</v>
      </c>
      <c r="E272" s="151" t="str">
        <f>A272</f>
        <v>Excédent FR</v>
      </c>
      <c r="I272" s="19"/>
      <c r="J272" s="28"/>
      <c r="K272" s="28"/>
      <c r="L272" s="28"/>
      <c r="M272" s="28"/>
      <c r="N272" s="28"/>
      <c r="O272" s="28"/>
      <c r="P272" s="28"/>
      <c r="Q272" s="28"/>
      <c r="R272" s="12"/>
      <c r="S272" s="12"/>
      <c r="T272" s="12"/>
      <c r="U272" s="12"/>
      <c r="V272" s="12"/>
      <c r="W272" s="12"/>
      <c r="X272" s="12"/>
    </row>
    <row r="273" spans="1:24">
      <c r="A273" s="19"/>
      <c r="B273" s="19"/>
      <c r="C273" s="28"/>
      <c r="D273" s="28"/>
      <c r="E273" s="28"/>
      <c r="F273" s="12"/>
      <c r="G273" s="12"/>
      <c r="H273" s="12"/>
      <c r="I273" s="28"/>
      <c r="J273" s="28"/>
      <c r="K273" s="28"/>
      <c r="L273" s="28"/>
      <c r="M273" s="28"/>
      <c r="N273" s="28"/>
      <c r="O273" s="28"/>
      <c r="P273" s="28"/>
      <c r="Q273" s="28"/>
      <c r="R273" s="12"/>
      <c r="S273" s="12"/>
      <c r="T273" s="12"/>
      <c r="U273" s="12"/>
      <c r="V273" s="12"/>
      <c r="W273" s="12"/>
      <c r="X273" s="12"/>
    </row>
    <row r="274" spans="1:24">
      <c r="A274" s="553" t="e">
        <f>VLOOKUP(TRUE,A276:H282,2,FALSE)</f>
        <v>#N/A</v>
      </c>
      <c r="B274" s="1076" t="e">
        <f>VLOOKUP(TRUE,A276:H282,3,FALSE)</f>
        <v>#N/A</v>
      </c>
      <c r="C274" s="1076"/>
      <c r="D274" s="1076"/>
      <c r="E274" s="1076"/>
      <c r="F274" s="1076"/>
      <c r="G274" s="1076"/>
      <c r="H274" s="1076"/>
      <c r="I274" s="28"/>
      <c r="J274" s="28"/>
      <c r="K274" s="28"/>
      <c r="L274" s="28"/>
      <c r="M274" s="28"/>
      <c r="N274" s="28"/>
      <c r="O274" s="28"/>
      <c r="P274" s="28"/>
      <c r="Q274" s="28"/>
    </row>
    <row r="275" spans="1:24">
      <c r="A275" s="394"/>
      <c r="B275" s="1076"/>
      <c r="C275" s="1076"/>
      <c r="D275" s="1076"/>
      <c r="E275" s="1076"/>
      <c r="F275" s="1076"/>
      <c r="G275" s="1076"/>
      <c r="H275" s="1076"/>
      <c r="I275" s="28"/>
      <c r="J275" s="28"/>
      <c r="K275" s="28"/>
      <c r="L275" s="28"/>
      <c r="M275" s="28"/>
      <c r="N275" s="28"/>
      <c r="O275" s="28"/>
      <c r="P275" s="28"/>
      <c r="Q275" s="28"/>
    </row>
    <row r="276" spans="1:24" ht="15" customHeight="1">
      <c r="A276" s="554" t="e">
        <f>IF(E268&gt;30,TRUE,FALSE)</f>
        <v>#DIV/0!</v>
      </c>
      <c r="B276" s="19">
        <v>1</v>
      </c>
      <c r="C276" s="1082" t="e">
        <f>"La trésorerie est positive. Elle représente "&amp;ROUND(E268,0)&amp;" jours de CA HT. Idéalement ce ratio doit être supérieur à 30 jours. "</f>
        <v>#DIV/0!</v>
      </c>
      <c r="D276" s="1082"/>
      <c r="E276" s="1082"/>
      <c r="F276" s="1082"/>
      <c r="G276" s="1082"/>
      <c r="H276" s="1082"/>
      <c r="I276" s="28"/>
      <c r="J276" s="28"/>
      <c r="K276" s="28"/>
      <c r="N276" s="28"/>
      <c r="O276" s="28"/>
      <c r="P276" s="28"/>
      <c r="Q276" s="28"/>
    </row>
    <row r="277" spans="1:24">
      <c r="A277" s="204"/>
      <c r="B277" s="19"/>
      <c r="C277" s="1082"/>
      <c r="D277" s="1082"/>
      <c r="E277" s="1082"/>
      <c r="F277" s="1082"/>
      <c r="G277" s="1082"/>
      <c r="H277" s="1082"/>
      <c r="I277" s="28"/>
      <c r="J277" s="28"/>
      <c r="K277" s="28"/>
      <c r="N277" s="28"/>
      <c r="O277" s="28"/>
      <c r="P277" s="28"/>
      <c r="Q277" s="28"/>
    </row>
    <row r="278" spans="1:24" ht="15" customHeight="1">
      <c r="A278" s="554" t="e">
        <f>IF(AND(E268&gt;0,E268&lt;30),TRUE,FALSE)</f>
        <v>#DIV/0!</v>
      </c>
      <c r="B278" s="340">
        <v>0</v>
      </c>
      <c r="C278" s="1082" t="e">
        <f>"La trésorerie est positive. Elle représente "&amp;ROUND(E268,0)&amp;" jours de CA HT. Idéalement ce ratio doit être supérieur à 30 jours. "</f>
        <v>#DIV/0!</v>
      </c>
      <c r="D278" s="1082"/>
      <c r="E278" s="1082"/>
      <c r="F278" s="1082"/>
      <c r="G278" s="1082"/>
      <c r="H278" s="1082"/>
      <c r="I278" s="28"/>
      <c r="J278" s="28"/>
      <c r="K278" s="28"/>
      <c r="N278" s="28"/>
      <c r="O278" s="28"/>
      <c r="P278" s="28"/>
      <c r="Q278" s="28"/>
    </row>
    <row r="279" spans="1:24">
      <c r="A279" s="204"/>
      <c r="B279" s="341"/>
      <c r="C279" s="1082"/>
      <c r="D279" s="1082"/>
      <c r="E279" s="1082"/>
      <c r="F279" s="1082"/>
      <c r="G279" s="1082"/>
      <c r="H279" s="1082"/>
      <c r="I279" s="28"/>
      <c r="J279" s="28"/>
      <c r="K279" s="19"/>
      <c r="N279" s="19"/>
      <c r="O279" s="19"/>
      <c r="P279" s="19"/>
      <c r="Q279" s="19"/>
    </row>
    <row r="280" spans="1:24" ht="15" customHeight="1">
      <c r="A280" s="554" t="e">
        <f>IF(E268&lt;0,TRUE,FALSE)</f>
        <v>#DIV/0!</v>
      </c>
      <c r="B280" s="340">
        <v>-1</v>
      </c>
      <c r="C280" s="1082" t="e">
        <f>"La trésorerie est négative. Elle représente "&amp;ROUND(C268/B6*360,0)&amp;" jours de chiffre d'affaires HT. C'est le signe d'une fragilité de l'entreprise car elle dépend des tiers et risque la cessation de paiement."</f>
        <v>#DIV/0!</v>
      </c>
      <c r="D280" s="1082"/>
      <c r="E280" s="1082"/>
      <c r="F280" s="1082"/>
      <c r="G280" s="1082"/>
      <c r="H280" s="1082"/>
      <c r="I280" s="28"/>
      <c r="J280" s="28"/>
      <c r="K280" s="19"/>
      <c r="N280" s="19"/>
      <c r="O280" s="19"/>
      <c r="P280" s="19"/>
      <c r="Q280" s="19"/>
    </row>
    <row r="281" spans="1:24">
      <c r="A281" s="389"/>
      <c r="B281" s="555"/>
      <c r="C281" s="1082"/>
      <c r="D281" s="1082"/>
      <c r="E281" s="1082"/>
      <c r="F281" s="1082"/>
      <c r="G281" s="1082"/>
      <c r="H281" s="1082"/>
      <c r="I281" s="28"/>
      <c r="J281" s="28"/>
      <c r="K281" s="19"/>
      <c r="N281" s="19"/>
      <c r="O281" s="19"/>
      <c r="P281" s="19"/>
      <c r="Q281" s="19"/>
    </row>
    <row r="282" spans="1:24">
      <c r="A282" s="341"/>
      <c r="B282" s="341"/>
      <c r="C282" s="1082"/>
      <c r="D282" s="1082"/>
      <c r="E282" s="1082"/>
      <c r="F282" s="1082"/>
      <c r="G282" s="1082"/>
      <c r="H282" s="1082"/>
      <c r="I282" s="28"/>
      <c r="L282" s="19"/>
      <c r="M282" s="19"/>
      <c r="N282" s="19"/>
      <c r="O282" s="19"/>
      <c r="P282" s="19"/>
      <c r="Q282" s="19"/>
    </row>
    <row r="283" spans="1:24">
      <c r="A283" s="19"/>
      <c r="B283" s="19"/>
      <c r="C283" s="19"/>
      <c r="D283" s="19"/>
      <c r="E283" s="19"/>
      <c r="F283" s="19"/>
      <c r="G283" s="19"/>
      <c r="H283" s="28"/>
      <c r="I283" s="28"/>
      <c r="L283" s="19"/>
      <c r="M283" s="19"/>
      <c r="N283" s="19"/>
      <c r="O283" s="19"/>
      <c r="P283" s="19"/>
      <c r="Q283" s="19"/>
    </row>
    <row r="284" spans="1:24">
      <c r="A284" s="520" t="e">
        <f>VLOOKUP(TRUE,A285:B290,2,FALSE)</f>
        <v>#N/A</v>
      </c>
      <c r="B284" s="521"/>
      <c r="C284" s="521"/>
      <c r="D284" s="521"/>
      <c r="E284" s="521"/>
      <c r="F284" s="521"/>
      <c r="G284" s="521"/>
      <c r="H284" s="522"/>
      <c r="I284" s="28"/>
      <c r="L284" s="19"/>
      <c r="M284" s="19"/>
      <c r="N284" s="19"/>
      <c r="O284" s="19"/>
      <c r="P284" s="19"/>
      <c r="Q284" s="19"/>
    </row>
    <row r="285" spans="1:24">
      <c r="A285" s="150" t="b">
        <f>IF(AND(C268&gt;0,B250&gt;0),TRUE,FALSE)</f>
        <v>0</v>
      </c>
      <c r="B285" s="525" t="s">
        <v>574</v>
      </c>
      <c r="C285" s="217"/>
      <c r="D285" s="217"/>
      <c r="E285" s="217"/>
      <c r="F285" s="217"/>
      <c r="G285" s="217"/>
      <c r="H285" s="336"/>
      <c r="I285" s="28"/>
      <c r="L285" s="19"/>
      <c r="M285" s="19"/>
      <c r="N285" s="19"/>
      <c r="O285" s="19"/>
      <c r="P285" s="19"/>
      <c r="Q285" s="19"/>
    </row>
    <row r="286" spans="1:24">
      <c r="A286" s="150" t="b">
        <f>IF(AND(C268&lt;0,B250&lt;0),TRUE,FALSE)</f>
        <v>0</v>
      </c>
      <c r="B286" s="525" t="s">
        <v>575</v>
      </c>
      <c r="C286" s="217"/>
      <c r="D286" s="217"/>
      <c r="E286" s="217"/>
      <c r="F286" s="217"/>
      <c r="G286" s="217"/>
      <c r="H286" s="336"/>
      <c r="I286" s="28"/>
      <c r="L286" s="19"/>
      <c r="M286" s="19"/>
      <c r="N286" s="19"/>
      <c r="O286" s="19"/>
      <c r="P286" s="19"/>
      <c r="Q286" s="19"/>
    </row>
    <row r="287" spans="1:24">
      <c r="A287" s="150" t="b">
        <f>IF(AND(C268&gt;0,B219&lt;0),TRUE,FALSE)</f>
        <v>0</v>
      </c>
      <c r="B287" s="525" t="s">
        <v>576</v>
      </c>
      <c r="C287" s="217"/>
      <c r="D287" s="217"/>
      <c r="E287" s="217"/>
      <c r="F287" s="217"/>
      <c r="G287" s="217"/>
      <c r="H287" s="336"/>
      <c r="I287" s="28"/>
      <c r="L287" s="19"/>
      <c r="M287" s="19"/>
      <c r="N287" s="19"/>
      <c r="O287" s="19"/>
      <c r="P287" s="19"/>
      <c r="Q287" s="19"/>
    </row>
    <row r="288" spans="1:24">
      <c r="A288" s="150" t="b">
        <f>IF(AND(C268&lt;0,B219&gt;0),TRUE,FALSE)</f>
        <v>0</v>
      </c>
      <c r="B288" s="525" t="s">
        <v>577</v>
      </c>
      <c r="C288" s="217"/>
      <c r="D288" s="217"/>
      <c r="E288" s="217"/>
      <c r="F288" s="217"/>
      <c r="G288" s="217"/>
      <c r="H288" s="336"/>
      <c r="I288" s="28"/>
      <c r="L288" s="19"/>
      <c r="M288" s="19"/>
      <c r="N288" s="19"/>
      <c r="O288" s="19"/>
      <c r="P288" s="19"/>
      <c r="Q288" s="19"/>
    </row>
    <row r="289" spans="1:17">
      <c r="A289" s="150" t="b">
        <f>IF(AND(C268&gt;0,B250&lt;0,B219&gt;0),TRUE,FALSE)</f>
        <v>0</v>
      </c>
      <c r="B289" s="525" t="s">
        <v>578</v>
      </c>
      <c r="C289" s="217"/>
      <c r="D289" s="217"/>
      <c r="E289" s="217"/>
      <c r="F289" s="217"/>
      <c r="G289" s="217"/>
      <c r="H289" s="336"/>
      <c r="I289" s="28"/>
      <c r="L289" s="19"/>
      <c r="M289" s="19"/>
      <c r="N289" s="19"/>
      <c r="O289" s="19"/>
      <c r="P289" s="19"/>
      <c r="Q289" s="19"/>
    </row>
    <row r="290" spans="1:17">
      <c r="A290" s="10" t="b">
        <f>IF(AND(C268&lt;0,B250&gt;0,B219&lt;0),TRUE,FALSE)</f>
        <v>0</v>
      </c>
      <c r="B290" s="525" t="s">
        <v>579</v>
      </c>
      <c r="C290" s="217"/>
      <c r="D290" s="217"/>
      <c r="E290" s="217"/>
      <c r="F290" s="217"/>
      <c r="G290" s="217"/>
      <c r="H290" s="336"/>
      <c r="I290" s="28"/>
      <c r="L290" s="19"/>
      <c r="M290" s="19"/>
      <c r="N290" s="19"/>
      <c r="O290" s="19"/>
      <c r="P290" s="19"/>
      <c r="Q290" s="19"/>
    </row>
    <row r="291" spans="1:17">
      <c r="A291" s="488"/>
      <c r="B291" s="488"/>
      <c r="C291" s="19"/>
      <c r="D291" s="19"/>
      <c r="E291" s="19"/>
      <c r="F291" s="19"/>
      <c r="G291" s="19"/>
      <c r="H291" s="19"/>
      <c r="I291" s="28"/>
      <c r="L291" s="19"/>
      <c r="M291" s="19"/>
      <c r="N291" s="19"/>
      <c r="O291" s="19"/>
      <c r="P291" s="19"/>
      <c r="Q291" s="19"/>
    </row>
    <row r="292" spans="1:17">
      <c r="A292" s="489" t="s">
        <v>153</v>
      </c>
      <c r="B292" s="489"/>
      <c r="C292" s="19"/>
      <c r="D292" s="19"/>
      <c r="E292" s="19"/>
      <c r="F292" s="19"/>
      <c r="G292" s="19"/>
      <c r="H292" s="19"/>
      <c r="I292" s="28"/>
      <c r="J292" s="28"/>
      <c r="K292" s="28"/>
      <c r="L292" s="19"/>
      <c r="M292" s="19"/>
      <c r="N292" s="19"/>
      <c r="O292" s="19"/>
      <c r="P292" s="19"/>
      <c r="Q292" s="19"/>
    </row>
    <row r="293" spans="1:17">
      <c r="A293" s="540" t="s">
        <v>87</v>
      </c>
      <c r="B293" s="541" t="e">
        <f>((B294+B295)/2)/B296*360</f>
        <v>#DIV/0!</v>
      </c>
      <c r="C293" s="329" t="s">
        <v>6</v>
      </c>
      <c r="D293" s="19"/>
      <c r="E293" s="19"/>
      <c r="F293" s="19"/>
      <c r="G293" s="19"/>
      <c r="H293" s="490"/>
      <c r="I293" s="28"/>
      <c r="J293" s="28"/>
      <c r="K293" s="19"/>
      <c r="L293" s="19"/>
      <c r="M293" s="19"/>
      <c r="N293" s="19"/>
      <c r="O293" s="19"/>
      <c r="P293" s="19"/>
      <c r="Q293" s="19"/>
    </row>
    <row r="294" spans="1:17">
      <c r="A294" s="359" t="s">
        <v>179</v>
      </c>
      <c r="B294" s="545">
        <f>B238</f>
        <v>0</v>
      </c>
      <c r="C294" s="329"/>
      <c r="D294" s="19"/>
      <c r="E294" s="19"/>
      <c r="F294" s="19"/>
      <c r="G294" s="19"/>
      <c r="H294" s="19"/>
      <c r="I294" s="19"/>
      <c r="J294" s="19"/>
      <c r="K294" s="19"/>
      <c r="L294" s="19"/>
      <c r="M294" s="19"/>
      <c r="N294" s="19"/>
      <c r="O294" s="19"/>
      <c r="P294" s="19"/>
      <c r="Q294" s="19"/>
    </row>
    <row r="295" spans="1:17">
      <c r="A295" s="359" t="s">
        <v>180</v>
      </c>
      <c r="B295" s="545">
        <f>IF(ISBLANK(AFin!C57),AFin!H55+AFin!H57+AFin!H59+AFin!H61+AFin!H63,AFin!C57)</f>
        <v>0</v>
      </c>
      <c r="C295" s="329"/>
      <c r="D295" s="19"/>
      <c r="E295" s="19"/>
      <c r="F295" s="19"/>
      <c r="G295" s="19"/>
      <c r="H295" s="19"/>
      <c r="I295" s="19"/>
      <c r="J295" s="19"/>
      <c r="K295" s="19"/>
      <c r="L295" s="19"/>
      <c r="M295" s="19"/>
      <c r="N295" s="19"/>
      <c r="O295" s="19"/>
      <c r="P295" s="19"/>
      <c r="Q295" s="19"/>
    </row>
    <row r="296" spans="1:17">
      <c r="A296" s="141" t="s">
        <v>119</v>
      </c>
      <c r="B296" s="141">
        <f>B6-C33</f>
        <v>0</v>
      </c>
      <c r="C296" s="19"/>
      <c r="D296" s="19"/>
      <c r="E296" s="19"/>
      <c r="F296" s="19"/>
      <c r="G296" s="19"/>
      <c r="H296" s="19"/>
      <c r="I296" s="29"/>
      <c r="J296" s="19"/>
      <c r="K296" s="19"/>
      <c r="L296" s="19"/>
      <c r="M296" s="19"/>
      <c r="N296" s="19"/>
      <c r="O296" s="19"/>
      <c r="P296" s="19"/>
      <c r="Q296" s="19"/>
    </row>
    <row r="297" spans="1:17">
      <c r="A297" s="542" t="s">
        <v>120</v>
      </c>
      <c r="B297" s="543">
        <f>IFERROR((B239-B240)/(B6*(1+AFin!B15))*360,0)</f>
        <v>0</v>
      </c>
      <c r="C297" s="329" t="s">
        <v>121</v>
      </c>
      <c r="D297" s="19"/>
      <c r="E297" s="19"/>
      <c r="F297" s="19"/>
      <c r="G297" s="19"/>
      <c r="H297" s="19"/>
      <c r="I297" s="19"/>
      <c r="J297" s="19"/>
      <c r="K297" s="19"/>
      <c r="L297" s="19"/>
      <c r="M297" s="19"/>
      <c r="N297" s="19"/>
      <c r="O297" s="19"/>
      <c r="P297" s="19"/>
      <c r="Q297" s="19"/>
    </row>
    <row r="298" spans="1:17">
      <c r="A298" s="542" t="s">
        <v>122</v>
      </c>
      <c r="B298" s="543">
        <f>IFERROR((B241)/B299*360,0)</f>
        <v>0</v>
      </c>
      <c r="C298" s="329" t="s">
        <v>125</v>
      </c>
      <c r="D298" s="19"/>
      <c r="E298" s="19"/>
      <c r="F298" s="19"/>
      <c r="G298" s="19"/>
      <c r="H298" s="19"/>
      <c r="I298" s="19"/>
      <c r="J298" s="19"/>
      <c r="K298" s="19"/>
      <c r="L298" s="19"/>
      <c r="M298" s="19"/>
      <c r="N298" s="19"/>
      <c r="O298" s="19"/>
      <c r="P298" s="19"/>
      <c r="Q298" s="19"/>
    </row>
    <row r="299" spans="1:17">
      <c r="A299" s="141" t="s">
        <v>123</v>
      </c>
      <c r="B299" s="276">
        <f>(IF(ISBLANK(AFin!C28),AFin!F28+AFin!G28,AFin!C28))*(1+AFin!B17)+IF(ISBLANK(AFin!C32),AFin!F32,AFin!C32)*1.2</f>
        <v>0</v>
      </c>
      <c r="C299" s="19"/>
      <c r="D299" s="19"/>
      <c r="E299" s="19"/>
      <c r="F299" s="19"/>
      <c r="G299" s="19"/>
      <c r="H299" s="19"/>
      <c r="I299" s="19"/>
      <c r="J299" s="19"/>
      <c r="K299" s="19"/>
      <c r="L299" s="19"/>
      <c r="M299" s="19"/>
      <c r="N299" s="19"/>
      <c r="O299" s="19"/>
      <c r="P299" s="19"/>
      <c r="Q299" s="19"/>
    </row>
    <row r="300" spans="1:17">
      <c r="A300" s="19"/>
      <c r="B300" s="19"/>
      <c r="C300" s="19"/>
      <c r="D300" s="19"/>
      <c r="E300" s="19"/>
      <c r="F300" s="19"/>
      <c r="G300" s="19"/>
      <c r="H300" s="19"/>
      <c r="I300" s="19"/>
      <c r="J300" s="19"/>
      <c r="K300" s="19"/>
      <c r="L300" s="19"/>
      <c r="M300" s="19"/>
      <c r="N300" s="19"/>
      <c r="O300" s="19"/>
      <c r="P300" s="19"/>
      <c r="Q300" s="19"/>
    </row>
    <row r="301" spans="1:17">
      <c r="A301" s="542" t="s">
        <v>154</v>
      </c>
      <c r="B301" s="542"/>
      <c r="C301" s="544">
        <f>IFERROR(B250/B$6*360,0)</f>
        <v>0</v>
      </c>
      <c r="D301" s="19"/>
      <c r="E301" s="19"/>
      <c r="F301" s="19"/>
      <c r="G301" s="254"/>
      <c r="H301" s="190"/>
      <c r="I301" s="19"/>
      <c r="J301" s="19"/>
      <c r="K301" s="19"/>
      <c r="L301" s="19"/>
      <c r="M301" s="19"/>
      <c r="N301" s="19"/>
      <c r="O301" s="19"/>
      <c r="P301" s="19"/>
      <c r="Q301" s="19"/>
    </row>
    <row r="302" spans="1:17">
      <c r="A302" s="542" t="s">
        <v>126</v>
      </c>
      <c r="B302" s="542"/>
      <c r="C302" s="544">
        <f>IFERROR(B237/B$6*360,0)</f>
        <v>0</v>
      </c>
      <c r="D302" s="19"/>
      <c r="E302" s="19"/>
      <c r="F302" s="19"/>
      <c r="G302" s="254"/>
      <c r="H302" s="491"/>
      <c r="I302" s="19"/>
      <c r="J302" s="19"/>
      <c r="K302" s="19"/>
      <c r="L302" s="19"/>
      <c r="M302" s="19"/>
      <c r="N302" s="19"/>
      <c r="O302" s="19"/>
      <c r="P302" s="19"/>
      <c r="Q302" s="19"/>
    </row>
    <row r="303" spans="1:17">
      <c r="G303" s="11"/>
      <c r="H303" s="491"/>
      <c r="I303" s="19"/>
      <c r="J303" s="19"/>
      <c r="K303" s="19"/>
      <c r="L303" s="19"/>
      <c r="M303" s="19"/>
      <c r="N303" s="19"/>
      <c r="O303" s="19"/>
      <c r="P303" s="19"/>
      <c r="Q303" s="19"/>
    </row>
    <row r="304" spans="1:17">
      <c r="B304" s="11"/>
      <c r="I304" s="19"/>
      <c r="J304" s="19"/>
      <c r="K304" s="19"/>
      <c r="L304" s="19"/>
      <c r="M304" s="19"/>
      <c r="N304" s="19"/>
      <c r="O304" s="19"/>
      <c r="P304" s="19"/>
      <c r="Q304" s="19"/>
    </row>
    <row r="305" spans="2:17">
      <c r="B305" s="11"/>
      <c r="I305" s="19"/>
      <c r="J305" s="19"/>
      <c r="K305" s="19"/>
      <c r="L305" s="19"/>
      <c r="M305" s="19"/>
      <c r="N305" s="19"/>
      <c r="O305" s="19"/>
      <c r="P305" s="19"/>
      <c r="Q305" s="19"/>
    </row>
    <row r="306" spans="2:17">
      <c r="I306" s="19"/>
      <c r="J306" s="19"/>
      <c r="K306" s="19"/>
      <c r="L306" s="19"/>
      <c r="M306" s="19"/>
      <c r="N306" s="19"/>
      <c r="O306" s="19"/>
      <c r="P306" s="19"/>
      <c r="Q306" s="19"/>
    </row>
    <row r="307" spans="2:17">
      <c r="B307" s="11"/>
    </row>
  </sheetData>
  <sheetProtection password="B094" sheet="1" objects="1" scenarios="1"/>
  <mergeCells count="92">
    <mergeCell ref="A9:H10"/>
    <mergeCell ref="A11:H11"/>
    <mergeCell ref="A12:H12"/>
    <mergeCell ref="B274:H275"/>
    <mergeCell ref="C276:H277"/>
    <mergeCell ref="B112:H112"/>
    <mergeCell ref="B113:H113"/>
    <mergeCell ref="A111:H111"/>
    <mergeCell ref="G108:H108"/>
    <mergeCell ref="B102:H102"/>
    <mergeCell ref="B103:H103"/>
    <mergeCell ref="A101:H101"/>
    <mergeCell ref="G97:H97"/>
    <mergeCell ref="G98:H98"/>
    <mergeCell ref="G99:H99"/>
    <mergeCell ref="B93:H93"/>
    <mergeCell ref="C278:H279"/>
    <mergeCell ref="C280:H282"/>
    <mergeCell ref="G122:H122"/>
    <mergeCell ref="G123:H123"/>
    <mergeCell ref="B127:H128"/>
    <mergeCell ref="A125:H126"/>
    <mergeCell ref="B145:H146"/>
    <mergeCell ref="B147:H148"/>
    <mergeCell ref="B149:H151"/>
    <mergeCell ref="B158:H159"/>
    <mergeCell ref="C160:H161"/>
    <mergeCell ref="C162:H163"/>
    <mergeCell ref="C164:H165"/>
    <mergeCell ref="A171:H172"/>
    <mergeCell ref="B173:H174"/>
    <mergeCell ref="C190:H192"/>
    <mergeCell ref="B94:H94"/>
    <mergeCell ref="A78:H79"/>
    <mergeCell ref="C57:H57"/>
    <mergeCell ref="C58:H58"/>
    <mergeCell ref="C59:H59"/>
    <mergeCell ref="C60:H60"/>
    <mergeCell ref="C61:H61"/>
    <mergeCell ref="B88:H88"/>
    <mergeCell ref="A85:H85"/>
    <mergeCell ref="B87:H87"/>
    <mergeCell ref="B42:C42"/>
    <mergeCell ref="B43:C43"/>
    <mergeCell ref="B80:H81"/>
    <mergeCell ref="B82:H83"/>
    <mergeCell ref="B86:H86"/>
    <mergeCell ref="C49:H50"/>
    <mergeCell ref="C51:H52"/>
    <mergeCell ref="C53:H54"/>
    <mergeCell ref="C55:H56"/>
    <mergeCell ref="C62:H62"/>
    <mergeCell ref="C63:H63"/>
    <mergeCell ref="C64:H64"/>
    <mergeCell ref="C65:H65"/>
    <mergeCell ref="B117:H118"/>
    <mergeCell ref="A115:H116"/>
    <mergeCell ref="B119:H119"/>
    <mergeCell ref="A143:H144"/>
    <mergeCell ref="B3:C3"/>
    <mergeCell ref="B4:C4"/>
    <mergeCell ref="B5:C5"/>
    <mergeCell ref="B40:C40"/>
    <mergeCell ref="B41:C41"/>
    <mergeCell ref="B6:C6"/>
    <mergeCell ref="C13:G14"/>
    <mergeCell ref="C15:G16"/>
    <mergeCell ref="C17:G18"/>
    <mergeCell ref="C19:G20"/>
    <mergeCell ref="A92:H92"/>
    <mergeCell ref="B129:H130"/>
    <mergeCell ref="C193:H194"/>
    <mergeCell ref="A199:H200"/>
    <mergeCell ref="B201:H202"/>
    <mergeCell ref="B175:H176"/>
    <mergeCell ref="B182:H183"/>
    <mergeCell ref="C184:H186"/>
    <mergeCell ref="C187:H189"/>
    <mergeCell ref="B203:H204"/>
    <mergeCell ref="A212:H212"/>
    <mergeCell ref="B213:H214"/>
    <mergeCell ref="B215:H215"/>
    <mergeCell ref="B216:H216"/>
    <mergeCell ref="B255:H257"/>
    <mergeCell ref="B258:H260"/>
    <mergeCell ref="A252:H254"/>
    <mergeCell ref="A262:H262"/>
    <mergeCell ref="B217:H217"/>
    <mergeCell ref="B223:H224"/>
    <mergeCell ref="C225:H226"/>
    <mergeCell ref="C227:H228"/>
    <mergeCell ref="C229:H230"/>
  </mergeCells>
  <pageMargins left="0.70866141732283461" right="0.31496062992125984" top="0.55118110236220474" bottom="0.55118110236220474" header="0.31496062992125984" footer="0.31496062992125984"/>
  <pageSetup paperSize="9" orientation="portrait" horizont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Q375"/>
  <sheetViews>
    <sheetView workbookViewId="0">
      <selection activeCell="D19" sqref="D19"/>
    </sheetView>
  </sheetViews>
  <sheetFormatPr baseColWidth="10" defaultRowHeight="15"/>
  <cols>
    <col min="2" max="2" width="12.42578125" customWidth="1"/>
    <col min="3" max="3" width="15.140625" customWidth="1"/>
    <col min="6" max="6" width="13" customWidth="1"/>
    <col min="7" max="7" width="9.5703125" customWidth="1"/>
  </cols>
  <sheetData>
    <row r="1" spans="1:8">
      <c r="A1" s="13" t="s">
        <v>156</v>
      </c>
      <c r="B1" s="172"/>
      <c r="C1" s="19"/>
      <c r="D1" s="19"/>
      <c r="E1" s="19"/>
      <c r="F1" s="19"/>
      <c r="G1" s="19"/>
      <c r="H1" s="19"/>
    </row>
    <row r="2" spans="1:8">
      <c r="A2" s="19"/>
      <c r="B2" s="19"/>
      <c r="C2" s="19"/>
      <c r="D2" s="19"/>
      <c r="E2" s="19"/>
      <c r="F2" s="19"/>
      <c r="H2" s="19"/>
    </row>
    <row r="3" spans="1:8">
      <c r="A3" s="338" t="s">
        <v>168</v>
      </c>
      <c r="B3" s="342"/>
      <c r="C3" s="19"/>
      <c r="D3" s="338" t="s">
        <v>2</v>
      </c>
      <c r="E3" s="342"/>
      <c r="F3" s="19"/>
      <c r="G3" s="19"/>
      <c r="H3" s="19"/>
    </row>
    <row r="4" spans="1:8">
      <c r="A4" s="251" t="s">
        <v>169</v>
      </c>
      <c r="B4" s="343"/>
      <c r="C4" s="19"/>
      <c r="D4" s="251" t="s">
        <v>3</v>
      </c>
      <c r="E4" s="343"/>
      <c r="F4" s="19"/>
      <c r="G4" s="340" t="s">
        <v>274</v>
      </c>
      <c r="H4" s="19"/>
    </row>
    <row r="5" spans="1:8">
      <c r="A5" s="251" t="s">
        <v>170</v>
      </c>
      <c r="B5" s="343"/>
      <c r="C5" s="19"/>
      <c r="D5" s="339" t="s">
        <v>4</v>
      </c>
      <c r="E5" s="344"/>
      <c r="F5" s="19"/>
      <c r="G5" s="341" t="s">
        <v>275</v>
      </c>
      <c r="H5" s="19"/>
    </row>
    <row r="6" spans="1:8">
      <c r="A6" s="251" t="s">
        <v>171</v>
      </c>
      <c r="B6" s="343"/>
      <c r="C6" s="19"/>
      <c r="D6" s="19"/>
      <c r="E6" s="19"/>
      <c r="F6" s="19"/>
      <c r="G6" s="19"/>
      <c r="H6" s="19"/>
    </row>
    <row r="7" spans="1:8">
      <c r="A7" s="339" t="s">
        <v>172</v>
      </c>
      <c r="B7" s="344"/>
      <c r="C7" s="19"/>
      <c r="D7" s="19"/>
      <c r="E7" s="19"/>
      <c r="F7" s="19"/>
      <c r="G7" s="19"/>
      <c r="H7" s="19"/>
    </row>
    <row r="8" spans="1:8">
      <c r="A8" s="19"/>
      <c r="B8" s="19"/>
      <c r="C8" s="19"/>
      <c r="D8" s="19"/>
      <c r="E8" s="19"/>
      <c r="F8" s="19"/>
      <c r="G8" s="19"/>
      <c r="H8" s="19"/>
    </row>
    <row r="9" spans="1:8">
      <c r="A9" s="345">
        <v>5.5E-2</v>
      </c>
      <c r="B9" s="19"/>
      <c r="C9" s="338" t="s">
        <v>193</v>
      </c>
      <c r="D9" s="342"/>
      <c r="F9" s="338" t="s">
        <v>226</v>
      </c>
      <c r="G9" s="342"/>
    </row>
    <row r="10" spans="1:8">
      <c r="A10" s="346">
        <v>0.1</v>
      </c>
      <c r="B10" s="19"/>
      <c r="C10" s="251" t="s">
        <v>276</v>
      </c>
      <c r="D10" s="343"/>
      <c r="F10" s="251" t="s">
        <v>279</v>
      </c>
      <c r="G10" s="343"/>
    </row>
    <row r="11" spans="1:8">
      <c r="A11" s="347">
        <v>0.2</v>
      </c>
      <c r="B11" s="19"/>
      <c r="C11" s="339" t="s">
        <v>386</v>
      </c>
      <c r="D11" s="344"/>
      <c r="F11" s="251" t="s">
        <v>280</v>
      </c>
      <c r="G11" s="343"/>
    </row>
    <row r="12" spans="1:8">
      <c r="A12" s="19"/>
      <c r="B12" s="19"/>
      <c r="C12" s="19"/>
      <c r="D12" s="19"/>
      <c r="F12" s="251" t="s">
        <v>281</v>
      </c>
      <c r="G12" s="343"/>
    </row>
    <row r="13" spans="1:8">
      <c r="A13" s="19"/>
      <c r="B13" s="19"/>
      <c r="C13" s="19"/>
      <c r="D13" s="19"/>
      <c r="F13" s="251" t="s">
        <v>282</v>
      </c>
      <c r="G13" s="343"/>
    </row>
    <row r="14" spans="1:8">
      <c r="A14" s="13" t="s">
        <v>325</v>
      </c>
      <c r="B14" s="13"/>
      <c r="C14" s="215">
        <f>IF(ISBLANK(Fin!C42),Paramètres!D3,Fin!C42)</f>
        <v>1.0999999999999999E-2</v>
      </c>
      <c r="D14" s="19"/>
      <c r="E14" s="19"/>
      <c r="F14" s="251" t="s">
        <v>283</v>
      </c>
      <c r="G14" s="343"/>
    </row>
    <row r="15" spans="1:8">
      <c r="A15" s="19" t="s">
        <v>326</v>
      </c>
      <c r="B15" s="19"/>
      <c r="C15" s="19"/>
      <c r="D15" s="215">
        <f>(1+C14)^(1/12)-1</f>
        <v>9.1207735967446801E-4</v>
      </c>
      <c r="E15" s="19"/>
      <c r="F15" s="251" t="s">
        <v>284</v>
      </c>
      <c r="G15" s="343"/>
    </row>
    <row r="16" spans="1:8">
      <c r="A16" s="13" t="s">
        <v>327</v>
      </c>
      <c r="B16" s="15"/>
      <c r="C16">
        <f>SMALL(D17:D19,COUNTIF(D17:D19,0)+1)</f>
        <v>84</v>
      </c>
      <c r="D16" s="19"/>
      <c r="E16" s="19"/>
      <c r="F16" s="339" t="s">
        <v>285</v>
      </c>
      <c r="G16" s="344"/>
    </row>
    <row r="17" spans="1:7">
      <c r="A17" s="216" t="s">
        <v>328</v>
      </c>
      <c r="B17" s="217"/>
      <c r="C17" s="217"/>
      <c r="D17" s="141">
        <f>Paramètres!E4</f>
        <v>84</v>
      </c>
      <c r="E17" s="19"/>
      <c r="F17" s="19"/>
      <c r="G17" s="19"/>
    </row>
    <row r="18" spans="1:7">
      <c r="A18" s="216" t="s">
        <v>329</v>
      </c>
      <c r="B18" s="217"/>
      <c r="C18" s="217"/>
      <c r="D18" s="141">
        <f>'CACh prévi'!E15</f>
        <v>0</v>
      </c>
      <c r="E18" s="19"/>
      <c r="F18" s="19"/>
      <c r="G18" s="19"/>
    </row>
    <row r="19" spans="1:7">
      <c r="A19" s="216" t="s">
        <v>330</v>
      </c>
      <c r="B19" s="217"/>
      <c r="C19" s="217"/>
      <c r="D19" s="141">
        <f>Fin!C44</f>
        <v>0</v>
      </c>
      <c r="E19" s="19"/>
      <c r="F19" s="19"/>
      <c r="G19" s="19"/>
    </row>
    <row r="20" spans="1:7">
      <c r="A20" s="19"/>
      <c r="B20" s="19"/>
      <c r="C20" s="19"/>
      <c r="D20" s="19"/>
      <c r="E20" s="19"/>
      <c r="F20" s="19"/>
      <c r="G20" s="19"/>
    </row>
    <row r="21" spans="1:7">
      <c r="A21" s="13" t="s">
        <v>344</v>
      </c>
      <c r="B21" s="13"/>
      <c r="C21" s="19"/>
      <c r="D21" s="19"/>
      <c r="E21" s="338" t="str">
        <f>"Oui pour "&amp;A22</f>
        <v xml:space="preserve">Oui pour </v>
      </c>
      <c r="F21" s="342"/>
      <c r="G21" s="19"/>
    </row>
    <row r="22" spans="1:7">
      <c r="A22" s="10" t="str">
        <f>IF(ISNA(HLOOKUP('BO Fin'!I4,'CACh prévi'!C$24:G$26,3,FALSE)),"",HLOOKUP('BO Fin'!I4,'CACh prévi'!C$24:G$26,3,FALSE))</f>
        <v/>
      </c>
      <c r="B22" s="19"/>
      <c r="C22" s="19"/>
      <c r="D22" s="19"/>
      <c r="E22" s="251" t="str">
        <f>"Oui pour "&amp;A23</f>
        <v xml:space="preserve">Oui pour </v>
      </c>
      <c r="F22" s="343"/>
      <c r="G22" s="19"/>
    </row>
    <row r="23" spans="1:7">
      <c r="A23" s="10" t="str">
        <f>IF(ISNA(HLOOKUP('BO Fin'!I5,'CACh prévi'!C$24:G$26,3,FALSE)),"",HLOOKUP('BO Fin'!I5,'CACh prévi'!C$24:G$26,3,FALSE))</f>
        <v/>
      </c>
      <c r="B23" s="19"/>
      <c r="C23" s="19"/>
      <c r="D23" s="19"/>
      <c r="E23" s="339" t="s">
        <v>563</v>
      </c>
      <c r="F23" s="344"/>
      <c r="G23" s="19"/>
    </row>
    <row r="24" spans="1:7">
      <c r="F24" s="19"/>
      <c r="G24" s="19"/>
    </row>
    <row r="25" spans="1:7">
      <c r="A25" s="13" t="s">
        <v>300</v>
      </c>
      <c r="B25" s="2"/>
      <c r="C25" s="2"/>
      <c r="D25" s="2"/>
      <c r="G25" s="19"/>
    </row>
    <row r="26" spans="1:7">
      <c r="B26" s="9" t="s">
        <v>299</v>
      </c>
      <c r="C26" s="206" t="s">
        <v>301</v>
      </c>
      <c r="D26" s="205"/>
      <c r="E26" s="207"/>
      <c r="F26" s="208" t="s">
        <v>302</v>
      </c>
      <c r="G26" s="19"/>
    </row>
    <row r="27" spans="1:7">
      <c r="A27" s="10" t="str">
        <f>'CACh prévi'!I11</f>
        <v>janvier</v>
      </c>
      <c r="B27" s="204">
        <f>'CACh prévi'!J11</f>
        <v>0</v>
      </c>
      <c r="C27" s="204">
        <f>'CACh prévi'!J$27/12</f>
        <v>0</v>
      </c>
      <c r="E27" s="10" t="str">
        <f>A27</f>
        <v>janvier</v>
      </c>
      <c r="F27" s="10">
        <f>IF(ISBLANK('CACh prévi'!J$11),C27,B27)</f>
        <v>0</v>
      </c>
      <c r="G27" s="19"/>
    </row>
    <row r="28" spans="1:7">
      <c r="A28" s="10" t="str">
        <f>'CACh prévi'!I12</f>
        <v>janvier</v>
      </c>
      <c r="B28" s="204">
        <f>'CACh prévi'!J12</f>
        <v>0</v>
      </c>
      <c r="C28" s="204">
        <f>'CACh prévi'!J$27/12</f>
        <v>0</v>
      </c>
      <c r="E28" s="10" t="str">
        <f t="shared" ref="E28:E38" si="0">A28</f>
        <v>janvier</v>
      </c>
      <c r="F28" s="10">
        <f>IF(ISBLANK('CACh prévi'!J$11),C28,B28)</f>
        <v>0</v>
      </c>
      <c r="G28" s="19"/>
    </row>
    <row r="29" spans="1:7">
      <c r="A29" s="10" t="str">
        <f>'CACh prévi'!I13</f>
        <v>février</v>
      </c>
      <c r="B29" s="204">
        <f>'CACh prévi'!J13</f>
        <v>0</v>
      </c>
      <c r="C29" s="204">
        <f>'CACh prévi'!J$27/12</f>
        <v>0</v>
      </c>
      <c r="E29" s="10" t="str">
        <f t="shared" si="0"/>
        <v>février</v>
      </c>
      <c r="F29" s="10">
        <f>IF(ISBLANK('CACh prévi'!J$11),C29,B29)</f>
        <v>0</v>
      </c>
      <c r="G29" s="19"/>
    </row>
    <row r="30" spans="1:7">
      <c r="A30" s="10" t="str">
        <f>'CACh prévi'!I14</f>
        <v>mars</v>
      </c>
      <c r="B30" s="204">
        <f>'CACh prévi'!J14</f>
        <v>0</v>
      </c>
      <c r="C30" s="204">
        <f>'CACh prévi'!J$27/12</f>
        <v>0</v>
      </c>
      <c r="E30" s="10" t="str">
        <f t="shared" si="0"/>
        <v>mars</v>
      </c>
      <c r="F30" s="10">
        <f>IF(ISBLANK('CACh prévi'!J$11),C30,B30)</f>
        <v>0</v>
      </c>
      <c r="G30" s="19"/>
    </row>
    <row r="31" spans="1:7">
      <c r="A31" s="10" t="str">
        <f>'CACh prévi'!I15</f>
        <v>avril</v>
      </c>
      <c r="B31" s="204">
        <f>'CACh prévi'!J15</f>
        <v>0</v>
      </c>
      <c r="C31" s="204">
        <f>'CACh prévi'!J$27/12</f>
        <v>0</v>
      </c>
      <c r="E31" s="10" t="str">
        <f t="shared" si="0"/>
        <v>avril</v>
      </c>
      <c r="F31" s="10">
        <f>IF(ISBLANK('CACh prévi'!J$11),C31,B31)</f>
        <v>0</v>
      </c>
      <c r="G31" s="19"/>
    </row>
    <row r="32" spans="1:7">
      <c r="A32" s="10" t="str">
        <f>'CACh prévi'!I16</f>
        <v>mai</v>
      </c>
      <c r="B32" s="204">
        <f>'CACh prévi'!J16</f>
        <v>0</v>
      </c>
      <c r="C32" s="204">
        <f>'CACh prévi'!J$27/12</f>
        <v>0</v>
      </c>
      <c r="E32" s="10" t="str">
        <f t="shared" si="0"/>
        <v>mai</v>
      </c>
      <c r="F32" s="10">
        <f>IF(ISBLANK('CACh prévi'!J$11),C32,B32)</f>
        <v>0</v>
      </c>
      <c r="G32" s="19"/>
    </row>
    <row r="33" spans="1:10">
      <c r="A33" s="10" t="str">
        <f>'CACh prévi'!I17</f>
        <v>juin</v>
      </c>
      <c r="B33" s="204">
        <f>'CACh prévi'!J17</f>
        <v>0</v>
      </c>
      <c r="C33" s="204">
        <f>'CACh prévi'!J$27/12</f>
        <v>0</v>
      </c>
      <c r="E33" s="10" t="str">
        <f t="shared" si="0"/>
        <v>juin</v>
      </c>
      <c r="F33" s="10">
        <f>IF(ISBLANK('CACh prévi'!J$11),C33,B33)</f>
        <v>0</v>
      </c>
      <c r="G33" s="19"/>
    </row>
    <row r="34" spans="1:10">
      <c r="A34" s="10" t="str">
        <f>'CACh prévi'!I18</f>
        <v>juillet</v>
      </c>
      <c r="B34" s="204">
        <f>'CACh prévi'!J18</f>
        <v>0</v>
      </c>
      <c r="C34" s="204">
        <f>'CACh prévi'!J$27/12</f>
        <v>0</v>
      </c>
      <c r="E34" s="10" t="str">
        <f t="shared" si="0"/>
        <v>juillet</v>
      </c>
      <c r="F34" s="10">
        <f>IF(ISBLANK('CACh prévi'!J$11),C34,B34)</f>
        <v>0</v>
      </c>
      <c r="G34" s="19"/>
    </row>
    <row r="35" spans="1:10">
      <c r="A35" s="10" t="str">
        <f>'CACh prévi'!I19</f>
        <v>août</v>
      </c>
      <c r="B35" s="204">
        <f>'CACh prévi'!J19</f>
        <v>0</v>
      </c>
      <c r="C35" s="204">
        <f>'CACh prévi'!J$27/12</f>
        <v>0</v>
      </c>
      <c r="E35" s="10" t="str">
        <f t="shared" si="0"/>
        <v>août</v>
      </c>
      <c r="F35" s="10">
        <f>IF(ISBLANK('CACh prévi'!J$11),C35,B35)</f>
        <v>0</v>
      </c>
      <c r="G35" s="19"/>
    </row>
    <row r="36" spans="1:10">
      <c r="A36" s="10" t="str">
        <f>'CACh prévi'!I20</f>
        <v>septembre</v>
      </c>
      <c r="B36" s="204">
        <f>'CACh prévi'!J20</f>
        <v>0</v>
      </c>
      <c r="C36" s="204">
        <f>'CACh prévi'!J$27/12</f>
        <v>0</v>
      </c>
      <c r="E36" s="10" t="str">
        <f t="shared" si="0"/>
        <v>septembre</v>
      </c>
      <c r="F36" s="10">
        <f>IF(ISBLANK('CACh prévi'!J$11),C36,B36)</f>
        <v>0</v>
      </c>
      <c r="G36" s="19"/>
    </row>
    <row r="37" spans="1:10">
      <c r="A37" s="10" t="str">
        <f>'CACh prévi'!I21</f>
        <v>octobre</v>
      </c>
      <c r="B37" s="204">
        <f>'CACh prévi'!J21</f>
        <v>0</v>
      </c>
      <c r="C37" s="204">
        <f>'CACh prévi'!J$27/12</f>
        <v>0</v>
      </c>
      <c r="E37" s="10" t="str">
        <f t="shared" si="0"/>
        <v>octobre</v>
      </c>
      <c r="F37" s="10">
        <f>IF(ISBLANK('CACh prévi'!J$11),C37,B37)</f>
        <v>0</v>
      </c>
      <c r="G37" s="19"/>
    </row>
    <row r="38" spans="1:10">
      <c r="A38" s="10" t="str">
        <f>'CACh prévi'!I22</f>
        <v>novembre</v>
      </c>
      <c r="B38" s="204">
        <f>'CACh prévi'!J22</f>
        <v>0</v>
      </c>
      <c r="C38" s="204">
        <f>'CACh prévi'!J$27/12</f>
        <v>0</v>
      </c>
      <c r="E38" s="10" t="str">
        <f t="shared" si="0"/>
        <v>novembre</v>
      </c>
      <c r="F38" s="10">
        <f>IF(ISBLANK('CACh prévi'!J$11),C38,B38)</f>
        <v>0</v>
      </c>
      <c r="G38" s="19"/>
    </row>
    <row r="39" spans="1:10">
      <c r="A39" s="19"/>
      <c r="B39" s="19"/>
      <c r="C39" s="19"/>
      <c r="D39" s="19"/>
      <c r="E39" s="19"/>
      <c r="F39" s="19"/>
      <c r="G39" s="19"/>
    </row>
    <row r="40" spans="1:10">
      <c r="A40" s="19"/>
      <c r="B40" s="19"/>
      <c r="C40" s="19"/>
      <c r="D40" s="19"/>
      <c r="E40" s="19"/>
      <c r="F40" s="19"/>
      <c r="G40" s="19"/>
    </row>
    <row r="41" spans="1:10">
      <c r="A41" s="13" t="s">
        <v>491</v>
      </c>
      <c r="B41" s="13"/>
      <c r="C41" s="19"/>
      <c r="D41" s="19"/>
      <c r="E41" s="19"/>
      <c r="F41" s="19"/>
      <c r="G41" s="19"/>
    </row>
    <row r="42" spans="1:10">
      <c r="A42" s="19"/>
      <c r="B42" s="19"/>
      <c r="C42" s="19"/>
      <c r="D42" s="19"/>
      <c r="E42" s="19"/>
      <c r="F42" s="19"/>
      <c r="G42" s="19"/>
    </row>
    <row r="43" spans="1:10">
      <c r="A43" s="1102" t="str">
        <f>VLOOKUP(TRUE,A45:G47,2,FALSE)</f>
        <v>L'activité n'est pas soumise à une saisonnalité : le chiffre d'affaires a été réparti équitablement entre les mois qui composent cette année.</v>
      </c>
      <c r="B43" s="1103"/>
      <c r="C43" s="1103"/>
      <c r="D43" s="1103"/>
      <c r="E43" s="1103"/>
      <c r="F43" s="1103"/>
      <c r="G43" s="1104"/>
      <c r="H43" s="19"/>
      <c r="I43" t="str">
        <f>IF(OR(L1&lt;0,AND(L1&gt;0,L1&lt;30)),"Par prudence, on retiendra comme trésorerie de démarrage un Besoin en Fonds de Roulement de "&amp;G43&amp;" jours de CAHT, soit "&amp;G43*C13/360&amp;" €. Elle servira à financer le stock de démarrage, et les décalages de paiement entre les créances clients et les dettes fournisseurs.","")</f>
        <v/>
      </c>
      <c r="J43" s="19"/>
    </row>
    <row r="44" spans="1:10">
      <c r="A44" s="1105"/>
      <c r="B44" s="1106"/>
      <c r="C44" s="1106"/>
      <c r="D44" s="1106"/>
      <c r="E44" s="1106"/>
      <c r="F44" s="1106"/>
      <c r="G44" s="1107"/>
      <c r="H44" s="19"/>
      <c r="I44" s="19"/>
      <c r="J44" s="19"/>
    </row>
    <row r="45" spans="1:10">
      <c r="A45" s="340" t="b">
        <f>IF(ISBLANK('CACh prévi'!J11),TRUE,FALSE)</f>
        <v>1</v>
      </c>
      <c r="B45" s="1135" t="s">
        <v>493</v>
      </c>
      <c r="C45" s="1135"/>
      <c r="D45" s="1135"/>
      <c r="E45" s="1135"/>
      <c r="F45" s="1135"/>
      <c r="G45" s="1136"/>
      <c r="H45" s="19"/>
      <c r="I45" s="19"/>
      <c r="J45" s="19"/>
    </row>
    <row r="46" spans="1:10">
      <c r="A46" s="341"/>
      <c r="B46" s="1137"/>
      <c r="C46" s="1137"/>
      <c r="D46" s="1137"/>
      <c r="E46" s="1137"/>
      <c r="F46" s="1137"/>
      <c r="G46" s="1138"/>
      <c r="H46" s="19"/>
      <c r="I46" s="19"/>
      <c r="J46" s="19"/>
    </row>
    <row r="47" spans="1:10">
      <c r="A47" s="141" t="b">
        <f>IF(A45=FALSE,TRUE,FALSE)</f>
        <v>0</v>
      </c>
      <c r="B47" s="217" t="s">
        <v>492</v>
      </c>
      <c r="C47" s="217"/>
      <c r="D47" s="217"/>
      <c r="E47" s="217"/>
      <c r="F47" s="217"/>
      <c r="G47" s="21"/>
      <c r="H47" s="19"/>
      <c r="I47" s="19"/>
      <c r="J47" s="19"/>
    </row>
    <row r="48" spans="1:10">
      <c r="A48" s="19"/>
      <c r="B48" s="19"/>
      <c r="C48" s="19"/>
      <c r="D48" s="19"/>
      <c r="E48" s="19"/>
      <c r="F48" s="19"/>
      <c r="G48" s="19"/>
      <c r="H48" s="19"/>
      <c r="I48" s="19"/>
      <c r="J48" s="19"/>
    </row>
    <row r="49" spans="1:17">
      <c r="A49" s="1076" t="str">
        <f>VLOOKUP(TRUE,A51:G53,2,FALSE)</f>
        <v>La 1ère année, le projet génère un Excédent en Fonds de Roulement de 0 jours de CAHT, soit 0 €.</v>
      </c>
      <c r="B49" s="1076"/>
      <c r="C49" s="1076"/>
      <c r="D49" s="1076"/>
      <c r="E49" s="1076"/>
      <c r="F49" s="1076"/>
      <c r="G49" s="1076"/>
      <c r="H49" s="19"/>
      <c r="I49" s="19"/>
      <c r="J49" s="19"/>
    </row>
    <row r="50" spans="1:17">
      <c r="A50" s="1076"/>
      <c r="B50" s="1076"/>
      <c r="C50" s="1076"/>
      <c r="D50" s="1076"/>
      <c r="E50" s="1076"/>
      <c r="F50" s="1076"/>
      <c r="G50" s="1076"/>
      <c r="H50" s="19"/>
      <c r="I50" s="19"/>
      <c r="J50" s="19"/>
    </row>
    <row r="51" spans="1:17">
      <c r="A51" s="141" t="b">
        <f>IF('BO Fin'!B41&gt;0,TRUE,FALSE)</f>
        <v>0</v>
      </c>
      <c r="B51" s="141" t="str">
        <f>"La 1ère année, le projet génère un BFR de "&amp;ROUND('BO Fin'!B41,0)&amp;" jours de CAHT, soit "&amp;ROUND('BO Fin'!D41,2)&amp;" €."</f>
        <v>La 1ère année, le projet génère un BFR de 0 jours de CAHT, soit 0 €.</v>
      </c>
      <c r="C51" s="141"/>
      <c r="D51" s="141"/>
      <c r="E51" s="141"/>
      <c r="F51" s="141"/>
      <c r="G51" s="141"/>
      <c r="H51" s="19"/>
      <c r="I51" s="19"/>
      <c r="J51" s="19"/>
    </row>
    <row r="52" spans="1:17">
      <c r="A52" s="340" t="b">
        <f>IF(A51=FALSE,TRUE,FALSE)</f>
        <v>1</v>
      </c>
      <c r="B52" s="1139" t="str">
        <f>"La 1ère année, le projet génère un Excédent en Fonds de Roulement de "&amp;-ROUND('BO Fin'!B41,0)&amp;" jours de CAHT, soit "&amp;-ROUND('BO Fin'!D41,0)&amp;" €."</f>
        <v>La 1ère année, le projet génère un Excédent en Fonds de Roulement de 0 jours de CAHT, soit 0 €.</v>
      </c>
      <c r="C52" s="1135"/>
      <c r="D52" s="1135"/>
      <c r="E52" s="1135"/>
      <c r="F52" s="1135"/>
      <c r="G52" s="1136"/>
      <c r="H52" s="19"/>
      <c r="I52" s="19"/>
      <c r="J52" s="19"/>
    </row>
    <row r="53" spans="1:17">
      <c r="A53" s="341"/>
      <c r="B53" s="1140"/>
      <c r="C53" s="1137"/>
      <c r="D53" s="1137"/>
      <c r="E53" s="1137"/>
      <c r="F53" s="1137"/>
      <c r="G53" s="1138"/>
      <c r="H53" s="19"/>
      <c r="I53" s="19"/>
      <c r="J53" s="19"/>
    </row>
    <row r="54" spans="1:17">
      <c r="A54" s="19"/>
      <c r="B54" s="19"/>
      <c r="C54" s="19"/>
      <c r="D54" s="19"/>
      <c r="E54" s="19"/>
      <c r="F54" s="19"/>
      <c r="G54" s="19"/>
      <c r="H54" s="19"/>
      <c r="I54" s="19"/>
      <c r="J54" s="19"/>
    </row>
    <row r="55" spans="1:17">
      <c r="A55" s="1102">
        <f>VLOOKUP(TRUE,A58:G62,2,FALSE)</f>
        <v>0</v>
      </c>
      <c r="B55" s="1103"/>
      <c r="C55" s="1103"/>
      <c r="D55" s="1103"/>
      <c r="E55" s="1103"/>
      <c r="F55" s="1103"/>
      <c r="G55" s="1104"/>
      <c r="H55" s="19"/>
      <c r="I55" s="19"/>
      <c r="J55" s="19"/>
    </row>
    <row r="56" spans="1:17">
      <c r="A56" s="1142"/>
      <c r="B56" s="1133"/>
      <c r="C56" s="1133"/>
      <c r="D56" s="1133"/>
      <c r="E56" s="1133"/>
      <c r="F56" s="1133"/>
      <c r="G56" s="1134"/>
      <c r="H56" s="19"/>
      <c r="I56" s="19"/>
      <c r="J56" s="19"/>
    </row>
    <row r="57" spans="1:17">
      <c r="A57" s="1105"/>
      <c r="B57" s="1106"/>
      <c r="C57" s="1106"/>
      <c r="D57" s="1106"/>
      <c r="E57" s="1106"/>
      <c r="F57" s="1106"/>
      <c r="G57" s="1107"/>
      <c r="H57" s="19"/>
      <c r="I57" s="19"/>
      <c r="J57" s="19"/>
    </row>
    <row r="58" spans="1:17" ht="15" customHeight="1">
      <c r="A58" s="338" t="b">
        <f>IF(OR('BO Fin'!K32&lt;0,AND('BO Fin'!K32&gt;0,'BO Fin'!K32&lt;30)),TRUE,FALSE)</f>
        <v>0</v>
      </c>
      <c r="B58" s="1129" t="str">
        <f>"Par prudence, on retiendra comme trésorerie de démarrage un Besoin en Fonds de Roulement de "&amp;ROUND('BO Fin'!C7,0)&amp;" jours de CAHT, soit "&amp;ROUND('BO Fin'!C7*'BO Fin'!B12/360,0)&amp;" €. Elle servira à financer le stock de démarrage, et les décalages de paiement entre les créances clients et les dettes fournisseurs."</f>
        <v>Par prudence, on retiendra comme trésorerie de démarrage un Besoin en Fonds de Roulement de 30 jours de CAHT, soit 0 €. Elle servira à financer le stock de démarrage, et les décalages de paiement entre les créances clients et les dettes fournisseurs.</v>
      </c>
      <c r="C58" s="1130"/>
      <c r="D58" s="1130"/>
      <c r="E58" s="1130"/>
      <c r="F58" s="1130"/>
      <c r="G58" s="1131"/>
      <c r="H58" s="19"/>
      <c r="I58" s="17"/>
      <c r="J58" s="19"/>
      <c r="K58" s="19"/>
      <c r="L58" s="19"/>
      <c r="M58" s="19"/>
      <c r="N58" s="19"/>
      <c r="O58" s="19"/>
      <c r="P58" s="19"/>
      <c r="Q58" s="19"/>
    </row>
    <row r="59" spans="1:17">
      <c r="A59" s="251"/>
      <c r="B59" s="1132"/>
      <c r="C59" s="894"/>
      <c r="D59" s="894"/>
      <c r="E59" s="894"/>
      <c r="F59" s="894"/>
      <c r="G59" s="893"/>
      <c r="H59" s="19"/>
      <c r="I59" s="19"/>
      <c r="J59" s="19"/>
      <c r="K59" s="19"/>
      <c r="L59" s="19"/>
      <c r="M59" s="19"/>
      <c r="N59" s="19"/>
      <c r="O59" s="19"/>
      <c r="P59" s="19"/>
      <c r="Q59" s="19"/>
    </row>
    <row r="60" spans="1:17">
      <c r="A60" s="237"/>
      <c r="B60" s="1132"/>
      <c r="C60" s="894"/>
      <c r="D60" s="894"/>
      <c r="E60" s="894"/>
      <c r="F60" s="894"/>
      <c r="G60" s="893"/>
      <c r="I60" s="19"/>
    </row>
    <row r="61" spans="1:17">
      <c r="A61" s="266"/>
      <c r="B61" s="1143"/>
      <c r="C61" s="1144"/>
      <c r="D61" s="1144"/>
      <c r="E61" s="1144"/>
      <c r="F61" s="1144"/>
      <c r="G61" s="1145"/>
      <c r="I61" s="978"/>
      <c r="J61" s="978"/>
      <c r="K61" s="978"/>
      <c r="L61" s="978"/>
      <c r="M61" s="978"/>
      <c r="N61" s="978"/>
      <c r="O61" s="978"/>
      <c r="P61" s="978"/>
      <c r="Q61" s="978"/>
    </row>
    <row r="62" spans="1:17">
      <c r="A62" s="266" t="b">
        <f>IF(A58=TRUE,FALSE,TRUE)</f>
        <v>1</v>
      </c>
      <c r="B62" s="266"/>
      <c r="C62" s="267"/>
      <c r="D62" s="267"/>
      <c r="E62" s="267"/>
      <c r="F62" s="267"/>
      <c r="G62" s="349"/>
    </row>
    <row r="65" spans="1:9">
      <c r="A65" s="13" t="s">
        <v>494</v>
      </c>
      <c r="B65" s="13"/>
    </row>
    <row r="67" spans="1:9">
      <c r="A67" s="1141" t="str">
        <f>VLOOKUP(TRUE,A68:B69,2,FALSE)</f>
        <v>La trésorie nécessaire retenue pour la mise en place du projet est de 0 €.</v>
      </c>
      <c r="B67" s="1141"/>
      <c r="C67" s="1141"/>
      <c r="D67" s="1141"/>
      <c r="E67" s="1141"/>
      <c r="F67" s="1141"/>
      <c r="G67" s="1141"/>
    </row>
    <row r="68" spans="1:9">
      <c r="A68" s="141" t="b">
        <f>IF(ISBLANK(Fin!G62),TRUE,FALSE)</f>
        <v>1</v>
      </c>
      <c r="B68" s="822" t="str">
        <f>"La trésorie nécessaire retenue pour la mise en place du projet est de "&amp;ROUND('BO Fin'!C7*'BO Fin'!B12/360,0)&amp;" €."</f>
        <v>La trésorie nécessaire retenue pour la mise en place du projet est de 0 €.</v>
      </c>
      <c r="C68" s="822"/>
      <c r="D68" s="822"/>
      <c r="E68" s="822"/>
      <c r="F68" s="822"/>
      <c r="G68" s="822"/>
    </row>
    <row r="69" spans="1:9">
      <c r="A69" s="141" t="b">
        <f>IF(A68=TRUE,FALSE,TRUE)</f>
        <v>0</v>
      </c>
      <c r="B69" s="822" t="str">
        <f>"La trésorerie que vous avez retenue pour le démarrage du projet est de "&amp;ROUND(Fin!G62,0)&amp;" €."</f>
        <v>La trésorerie que vous avez retenue pour le démarrage du projet est de 0 €.</v>
      </c>
      <c r="C69" s="822"/>
      <c r="D69" s="822"/>
      <c r="E69" s="822"/>
      <c r="F69" s="822"/>
      <c r="G69" s="822"/>
    </row>
    <row r="70" spans="1:9">
      <c r="A70" s="19"/>
      <c r="B70" s="19"/>
      <c r="C70" s="19"/>
      <c r="D70" s="19"/>
      <c r="E70" s="19"/>
      <c r="F70" s="19"/>
      <c r="G70" s="19"/>
    </row>
    <row r="71" spans="1:9">
      <c r="A71" s="1076" t="str">
        <f>VLOOKUP(TRUE,A73:G75,2,FALSE)</f>
        <v>Vous n'avez pas d'apport personnel pour financer mon projet.</v>
      </c>
      <c r="B71" s="1076"/>
      <c r="C71" s="1076"/>
      <c r="D71" s="1076"/>
      <c r="E71" s="1076"/>
      <c r="F71" s="1076"/>
      <c r="G71" s="1076"/>
    </row>
    <row r="72" spans="1:9">
      <c r="A72" s="1076"/>
      <c r="B72" s="1076"/>
      <c r="C72" s="1076"/>
      <c r="D72" s="1076"/>
      <c r="E72" s="1076"/>
      <c r="F72" s="1076"/>
      <c r="G72" s="1076"/>
    </row>
    <row r="73" spans="1:9">
      <c r="A73" s="141" t="b">
        <f>IF(AND(OR(ISBLANK(Fin!E14),Fin!E14="non"),OR(ISBLANK(Fin!F11),Fin!F11="non")),TRUE,FALSE)</f>
        <v>1</v>
      </c>
      <c r="B73" s="1108" t="s">
        <v>495</v>
      </c>
      <c r="C73" s="1108"/>
      <c r="D73" s="1108"/>
      <c r="E73" s="1108"/>
      <c r="F73" s="1108"/>
      <c r="G73" s="1108"/>
    </row>
    <row r="74" spans="1:9">
      <c r="A74" s="340" t="b">
        <f>IF(A73=TRUE,FALSE,TRUE)</f>
        <v>0</v>
      </c>
      <c r="B74" s="1129" t="str">
        <f>"Vous avez "&amp;SUM(Fin!B22:B24)+SUM(Fin!B28:B30)&amp;" € d'apport personnel dont "&amp;SUM(Fin!B28:B30)&amp;" € provenant de la vente d'immobilisations."</f>
        <v>Vous avez 0 € d'apport personnel dont 0 € provenant de la vente d'immobilisations.</v>
      </c>
      <c r="C74" s="1130"/>
      <c r="D74" s="1130"/>
      <c r="E74" s="1130"/>
      <c r="F74" s="1130"/>
      <c r="G74" s="1131"/>
    </row>
    <row r="75" spans="1:9">
      <c r="A75" s="341"/>
      <c r="B75" s="1143"/>
      <c r="C75" s="1144"/>
      <c r="D75" s="1144"/>
      <c r="E75" s="1144"/>
      <c r="F75" s="1144"/>
      <c r="G75" s="1145"/>
    </row>
    <row r="76" spans="1:9">
      <c r="A76" s="19"/>
      <c r="B76" s="19"/>
      <c r="C76" s="19"/>
      <c r="D76" s="19"/>
      <c r="E76" s="19"/>
      <c r="F76" s="19"/>
      <c r="G76" s="19"/>
    </row>
    <row r="77" spans="1:9">
      <c r="A77" s="1081" t="str">
        <f>VLOOKUP(TRUE,A78:G79,2,FALSE)</f>
        <v>Vous ne bénéficiez pas de subvention pour financer votre projet.</v>
      </c>
      <c r="B77" s="1081"/>
      <c r="C77" s="1081"/>
      <c r="D77" s="1081"/>
      <c r="E77" s="1081"/>
      <c r="F77" s="1081"/>
      <c r="G77" s="1081"/>
    </row>
    <row r="78" spans="1:9">
      <c r="A78" s="141" t="b">
        <f>IF(A79=TRUE,FALSE,TRUE)</f>
        <v>0</v>
      </c>
      <c r="B78" s="1089" t="str">
        <f>"Vous pouvez bénéficier de "&amp;ROUND(SUM(Fin!B25:B27),0)&amp;" € de subvention pour financer votre projet."</f>
        <v>Vous pouvez bénéficier de 0 € de subvention pour financer votre projet.</v>
      </c>
      <c r="C78" s="1089"/>
      <c r="D78" s="1089"/>
      <c r="E78" s="1089"/>
      <c r="F78" s="1089"/>
      <c r="G78" s="1089"/>
      <c r="I78" s="201"/>
    </row>
    <row r="79" spans="1:9" ht="15" customHeight="1">
      <c r="A79" s="141" t="b">
        <f>IF(SUM(Fin!B25:B27)=0,TRUE,FALSE)</f>
        <v>1</v>
      </c>
      <c r="B79" s="1089" t="s">
        <v>498</v>
      </c>
      <c r="C79" s="1089"/>
      <c r="D79" s="1089"/>
      <c r="E79" s="1089"/>
      <c r="F79" s="1089"/>
      <c r="G79" s="1089"/>
      <c r="I79" s="201"/>
    </row>
    <row r="80" spans="1:9">
      <c r="A80" s="19"/>
      <c r="B80" s="19"/>
      <c r="C80" s="19"/>
      <c r="D80" s="19"/>
      <c r="E80" s="19"/>
      <c r="F80" s="19"/>
      <c r="G80" s="19"/>
    </row>
    <row r="81" spans="1:17">
      <c r="A81" s="1081" t="str">
        <f>VLOOKUP(TRUE,A83:G85,2,FALSE)</f>
        <v>Vous n'avez pas renseigné le taux d'intérêt annuel de l'emprunt. Par défaut, nous avons utilisé un taux de 1,1%.</v>
      </c>
      <c r="B81" s="1081"/>
      <c r="C81" s="1081"/>
      <c r="D81" s="1081"/>
      <c r="E81" s="1081"/>
      <c r="F81" s="1081"/>
      <c r="G81" s="1081"/>
      <c r="J81" s="358"/>
      <c r="K81" s="358"/>
      <c r="L81" s="358"/>
      <c r="M81" s="358"/>
      <c r="N81" s="358"/>
      <c r="O81" s="358"/>
      <c r="P81" s="358"/>
      <c r="Q81" s="358"/>
    </row>
    <row r="82" spans="1:17">
      <c r="A82" s="1081"/>
      <c r="B82" s="1081"/>
      <c r="C82" s="1081"/>
      <c r="D82" s="1081"/>
      <c r="E82" s="1081"/>
      <c r="F82" s="1081"/>
      <c r="G82" s="1081"/>
      <c r="J82" s="358"/>
      <c r="K82" s="358"/>
      <c r="L82" s="358"/>
      <c r="M82" s="358"/>
      <c r="N82" s="358"/>
      <c r="O82" s="358"/>
      <c r="P82" s="358"/>
      <c r="Q82" s="358"/>
    </row>
    <row r="83" spans="1:17">
      <c r="A83" s="340" t="b">
        <f>IF(AND(ISBLANK(Fin!C42),ISBLANK(Fin!C44)),TRUE,FALSE)</f>
        <v>1</v>
      </c>
      <c r="B83" s="1108" t="str">
        <f>"Vous n'avez pas renseigné le taux d'intérêt annuel de l'emprunt. Par défaut, nous avons utilisé un taux de "&amp;Paramètres!D3*100&amp; "%."</f>
        <v>Vous n'avez pas renseigné le taux d'intérêt annuel de l'emprunt. Par défaut, nous avons utilisé un taux de 1,1%.</v>
      </c>
      <c r="C83" s="1108"/>
      <c r="D83" s="1108"/>
      <c r="E83" s="1108"/>
      <c r="F83" s="1108"/>
      <c r="G83" s="1108"/>
      <c r="J83" s="268"/>
      <c r="K83" s="268"/>
      <c r="L83" s="268"/>
      <c r="M83" s="268"/>
      <c r="N83" s="268"/>
      <c r="O83" s="268"/>
      <c r="P83" s="268"/>
      <c r="Q83" s="268"/>
    </row>
    <row r="84" spans="1:17">
      <c r="A84" s="341"/>
      <c r="B84" s="1108"/>
      <c r="C84" s="1108"/>
      <c r="D84" s="1108"/>
      <c r="E84" s="1108"/>
      <c r="F84" s="1108"/>
      <c r="G84" s="1108"/>
    </row>
    <row r="85" spans="1:17">
      <c r="A85" s="141" t="b">
        <f>IF(A83=TRUE,FALSE,TRUE)</f>
        <v>0</v>
      </c>
      <c r="B85" s="1108" t="str">
        <f>"Le taux d'intérêt proposé par votre banque est de "&amp;Fin!C42*100&amp;"% et la durée "&amp;Fin!C44&amp;" mois."</f>
        <v>Le taux d'intérêt proposé par votre banque est de 0% et la durée  mois.</v>
      </c>
      <c r="C85" s="1108"/>
      <c r="D85" s="1108"/>
      <c r="E85" s="1108"/>
      <c r="F85" s="1108"/>
      <c r="G85" s="1108"/>
    </row>
    <row r="86" spans="1:17">
      <c r="A86" s="19"/>
      <c r="B86" s="19"/>
      <c r="C86" s="19"/>
      <c r="D86" s="19"/>
      <c r="E86" s="19"/>
      <c r="F86" s="19"/>
      <c r="G86" s="19"/>
    </row>
    <row r="87" spans="1:17">
      <c r="A87" s="19"/>
      <c r="B87" s="19"/>
      <c r="C87" s="19"/>
      <c r="D87" s="19"/>
      <c r="E87" s="19"/>
      <c r="F87" s="19"/>
      <c r="G87" s="19"/>
    </row>
    <row r="88" spans="1:17">
      <c r="A88" s="13" t="s">
        <v>505</v>
      </c>
      <c r="B88" s="13"/>
      <c r="C88" s="19"/>
      <c r="D88" s="19"/>
      <c r="E88" s="19"/>
      <c r="F88" s="19"/>
      <c r="G88" s="19"/>
    </row>
    <row r="89" spans="1:17">
      <c r="A89" s="19"/>
      <c r="B89" s="19"/>
      <c r="C89" s="19"/>
      <c r="D89" s="19"/>
      <c r="E89" s="19"/>
      <c r="F89" s="19"/>
      <c r="G89" s="19"/>
    </row>
    <row r="90" spans="1:17">
      <c r="A90" s="1102" t="str">
        <f>VLOOKUP(TRUE,A92:G95,2,FALSE)</f>
        <v>Il n'y pas d'effet de ciseaux sur l'ensemble de la période : cas où le BFRE augmente plus vite que l'EBE ce qui conduit à une diminution de la trésorerie.</v>
      </c>
      <c r="B90" s="1103"/>
      <c r="C90" s="1103"/>
      <c r="D90" s="1103"/>
      <c r="E90" s="1103"/>
      <c r="F90" s="1103"/>
      <c r="G90" s="1104"/>
      <c r="J90" s="387"/>
      <c r="K90" s="387"/>
      <c r="L90" s="387"/>
      <c r="M90" s="387"/>
      <c r="N90" s="3"/>
    </row>
    <row r="91" spans="1:17">
      <c r="A91" s="1105"/>
      <c r="B91" s="1106"/>
      <c r="C91" s="1106"/>
      <c r="D91" s="1106"/>
      <c r="E91" s="1106"/>
      <c r="F91" s="1106"/>
      <c r="G91" s="1107"/>
    </row>
    <row r="92" spans="1:17">
      <c r="A92" s="340" t="b">
        <f>IF('BO Fin'!K37=0,TRUE,FALSE)</f>
        <v>1</v>
      </c>
      <c r="B92" s="1130" t="s">
        <v>506</v>
      </c>
      <c r="C92" s="1130"/>
      <c r="D92" s="1130"/>
      <c r="E92" s="1130"/>
      <c r="F92" s="1130"/>
      <c r="G92" s="1131"/>
    </row>
    <row r="93" spans="1:17">
      <c r="A93" s="341"/>
      <c r="B93" s="1144"/>
      <c r="C93" s="1144"/>
      <c r="D93" s="1144"/>
      <c r="E93" s="1144"/>
      <c r="F93" s="1144"/>
      <c r="G93" s="1145"/>
    </row>
    <row r="94" spans="1:17">
      <c r="A94" s="340" t="b">
        <f>IF('BO Fin'!K36&lt;&gt;0,TRUE,FALSE)</f>
        <v>0</v>
      </c>
      <c r="B94" s="1130" t="str">
        <f>"Le BFRE augmente plus vite que l'EBE sur "&amp;'BO Fin'!K37&amp;" an"&amp;IF('BO Fin'!K37&gt;1,"s. ","")&amp;", ce qui conduit à une diminution de la trésorerie (effet de ciseaux)."</f>
        <v>Le BFRE augmente plus vite que l'EBE sur 0 an, ce qui conduit à une diminution de la trésorerie (effet de ciseaux).</v>
      </c>
      <c r="C94" s="1130"/>
      <c r="D94" s="1130"/>
      <c r="E94" s="1130"/>
      <c r="F94" s="1130"/>
      <c r="G94" s="1131"/>
    </row>
    <row r="95" spans="1:17">
      <c r="A95" s="341"/>
      <c r="B95" s="1144"/>
      <c r="C95" s="1144"/>
      <c r="D95" s="1144"/>
      <c r="E95" s="1144"/>
      <c r="F95" s="1144"/>
      <c r="G95" s="1145"/>
    </row>
    <row r="96" spans="1:17">
      <c r="A96" s="19"/>
      <c r="B96" s="19"/>
      <c r="C96" s="19"/>
      <c r="D96" s="19"/>
      <c r="E96" s="19"/>
      <c r="F96" s="19"/>
      <c r="G96" s="19"/>
    </row>
    <row r="97" spans="1:9">
      <c r="A97" s="1076" t="e">
        <f ca="1">VLOOKUP(TRUE,A100:G107,2,FALSE)</f>
        <v>#N/A</v>
      </c>
      <c r="B97" s="1076"/>
      <c r="C97" s="1076"/>
      <c r="D97" s="1076"/>
      <c r="E97" s="1076"/>
      <c r="F97" s="1076"/>
      <c r="G97" s="1076"/>
    </row>
    <row r="98" spans="1:9">
      <c r="A98" s="1076"/>
      <c r="B98" s="1076"/>
      <c r="C98" s="1076"/>
      <c r="D98" s="1076"/>
      <c r="E98" s="1076"/>
      <c r="F98" s="1076"/>
      <c r="G98" s="1076"/>
    </row>
    <row r="99" spans="1:9">
      <c r="A99" s="1076"/>
      <c r="B99" s="1076"/>
      <c r="C99" s="1076"/>
      <c r="D99" s="1076"/>
      <c r="E99" s="1076"/>
      <c r="F99" s="1076"/>
      <c r="G99" s="1076"/>
      <c r="I99" s="12"/>
    </row>
    <row r="100" spans="1:9">
      <c r="A100" s="388" t="b">
        <f ca="1">IF('BO Fin'!B52&gt;'BO Fin'!G72,TRUE,FALSE)</f>
        <v>0</v>
      </c>
      <c r="B100" s="1080" t="str">
        <f ca="1">"La mise en oeuvre du projet sur les "&amp;BO!C16&amp;" mois rapporte "&amp;ROUND('BO Fin'!B52,0)&amp;"€. Il est intéressant d'investir dans le projet car le placement de vos économies ("&amp;SUM(Fin!B22:B24)&amp; "€) au taux de "&amp;Paramètres!C7*100&amp;"% sur "&amp;BO!C16&amp;" mois, ne vous aurez rapporté que "&amp;ROUND('BO Fin'!G72,0)&amp;" €."</f>
        <v>La mise en oeuvre du projet sur les 84 mois rapporte 0€. Il est intéressant d'investir dans le projet car le placement de vos économies (0€) au taux de 1,5% sur 84 mois, ne vous aurez rapporté que 0 €.</v>
      </c>
      <c r="C100" s="1080"/>
      <c r="D100" s="1080"/>
      <c r="E100" s="1080"/>
      <c r="F100" s="1080"/>
      <c r="G100" s="1080"/>
    </row>
    <row r="101" spans="1:9">
      <c r="A101" s="389"/>
      <c r="B101" s="1080"/>
      <c r="C101" s="1080"/>
      <c r="D101" s="1080"/>
      <c r="E101" s="1080"/>
      <c r="F101" s="1080"/>
      <c r="G101" s="1080"/>
    </row>
    <row r="102" spans="1:9">
      <c r="A102" s="341"/>
      <c r="B102" s="1080"/>
      <c r="C102" s="1080"/>
      <c r="D102" s="1080"/>
      <c r="E102" s="1080"/>
      <c r="F102" s="1080"/>
      <c r="G102" s="1080"/>
    </row>
    <row r="103" spans="1:9">
      <c r="A103" s="340" t="b">
        <f ca="1">IF(AND('BO Fin'!B52&gt;0,'BO Fin'!B52&lt;'BO Fin'!G72),TRUE,FALSE)</f>
        <v>0</v>
      </c>
      <c r="B103" s="1080" t="str">
        <f ca="1">"La mise en oeuvre du projet sur les "&amp;BO!C16&amp;" mois rapporte "&amp;ROUND('BO Fin'!B52,0)&amp;"€. Il n'est forcément intéressant d'investir dans le projet car le placement de vos économies ("&amp;SUM(Fin!B22:B24)&amp; "€) au taux de "&amp;Paramètres!C7*100&amp;"% sur "&amp;BO!C16&amp;" mois, vous aurez rapporté "&amp;ROUND('BO Fin'!G72,0)&amp;" €, plus que le projet."</f>
        <v>La mise en oeuvre du projet sur les 84 mois rapporte 0€. Il n'est forcément intéressant d'investir dans le projet car le placement de vos économies (0€) au taux de 1,5% sur 84 mois, vous aurez rapporté 0 €, plus que le projet.</v>
      </c>
      <c r="C103" s="1080"/>
      <c r="D103" s="1080"/>
      <c r="E103" s="1080"/>
      <c r="F103" s="1080"/>
      <c r="G103" s="1080"/>
    </row>
    <row r="104" spans="1:9" ht="15" customHeight="1">
      <c r="A104" s="389"/>
      <c r="B104" s="1080"/>
      <c r="C104" s="1080"/>
      <c r="D104" s="1080"/>
      <c r="E104" s="1080"/>
      <c r="F104" s="1080"/>
      <c r="G104" s="1080"/>
    </row>
    <row r="105" spans="1:9">
      <c r="A105" s="389"/>
      <c r="B105" s="1080"/>
      <c r="C105" s="1080"/>
      <c r="D105" s="1080"/>
      <c r="E105" s="1080"/>
      <c r="F105" s="1080"/>
      <c r="G105" s="1080"/>
    </row>
    <row r="106" spans="1:9">
      <c r="A106" s="341"/>
      <c r="B106" s="1080"/>
      <c r="C106" s="1080"/>
      <c r="D106" s="1080"/>
      <c r="E106" s="1080"/>
      <c r="F106" s="1080"/>
      <c r="G106" s="1080"/>
    </row>
    <row r="107" spans="1:9" ht="15" customHeight="1">
      <c r="A107" s="390" t="b">
        <f ca="1">IF('BO Fin'!B52&lt;0,TRUE,FALSE)</f>
        <v>0</v>
      </c>
      <c r="B107" s="1146" t="str">
        <f ca="1">"La mise en oeuvre du projet sur les "&amp;BO!C16&amp;" mois fait perdre "&amp;ROUND(-'BO Fin'!B52,0)&amp;"€."</f>
        <v>La mise en oeuvre du projet sur les 84 mois fait perdre 0€.</v>
      </c>
      <c r="C107" s="1147"/>
      <c r="D107" s="1147"/>
      <c r="E107" s="1147"/>
      <c r="F107" s="1147"/>
      <c r="G107" s="1148"/>
    </row>
    <row r="108" spans="1:9">
      <c r="A108" s="19"/>
      <c r="B108" s="19"/>
      <c r="C108" s="19"/>
      <c r="D108" s="19"/>
      <c r="E108" s="19"/>
      <c r="F108" s="19"/>
      <c r="G108" s="19"/>
    </row>
    <row r="109" spans="1:9">
      <c r="A109" s="19"/>
      <c r="B109" s="19"/>
      <c r="C109" s="19"/>
      <c r="D109" s="19"/>
      <c r="E109" s="19"/>
      <c r="F109" s="19"/>
      <c r="G109" s="19"/>
    </row>
    <row r="110" spans="1:9">
      <c r="A110" s="1102" t="e">
        <f ca="1">VLOOKUP(TRUE,A112:G117,2,FALSE)</f>
        <v>#N/A</v>
      </c>
      <c r="B110" s="1103"/>
      <c r="C110" s="1103"/>
      <c r="D110" s="1103"/>
      <c r="E110" s="1103"/>
      <c r="F110" s="1103"/>
      <c r="G110" s="1104"/>
    </row>
    <row r="111" spans="1:9">
      <c r="A111" s="1105"/>
      <c r="B111" s="1106"/>
      <c r="C111" s="1106"/>
      <c r="D111" s="1106"/>
      <c r="E111" s="1106"/>
      <c r="F111" s="1106"/>
      <c r="G111" s="1107"/>
    </row>
    <row r="112" spans="1:9">
      <c r="A112" s="340" t="b">
        <f ca="1">IF('BO Fin'!B52&gt;'BO Fin'!G72,TRUE,FALSE)</f>
        <v>0</v>
      </c>
      <c r="B112" s="1080" t="str">
        <f ca="1">"1 € investi dans le projet rapporte "&amp;ROUND('BO Fin'!C68,2)&amp;" €. Le projet est rentable et il rapporte plus qu'un placement non risqué."</f>
        <v>1 € investi dans le projet rapporte 0 €. Le projet est rentable et il rapporte plus qu'un placement non risqué.</v>
      </c>
      <c r="C112" s="1080"/>
      <c r="D112" s="1080"/>
      <c r="E112" s="1080"/>
      <c r="F112" s="1080"/>
      <c r="G112" s="1080"/>
    </row>
    <row r="113" spans="1:8">
      <c r="A113" s="341"/>
      <c r="B113" s="1080"/>
      <c r="C113" s="1080"/>
      <c r="D113" s="1080"/>
      <c r="E113" s="1080"/>
      <c r="F113" s="1080"/>
      <c r="G113" s="1080"/>
    </row>
    <row r="114" spans="1:8">
      <c r="A114" s="340" t="b">
        <f ca="1">IF(AND('BO Fin'!B52&gt;0,'BO Fin'!B52&lt;'BO Fin'!G72),TRUE,FALSE)</f>
        <v>0</v>
      </c>
      <c r="B114" s="1089" t="str">
        <f ca="1">"1 € investi dans le projet rapporte "&amp;ROUND('BO Fin'!C68,2)&amp;" €. Le projet est rentable mais moins qu'un placement non risqué."</f>
        <v>1 € investi dans le projet rapporte 0 €. Le projet est rentable mais moins qu'un placement non risqué.</v>
      </c>
      <c r="C114" s="1089"/>
      <c r="D114" s="1089"/>
      <c r="E114" s="1089"/>
      <c r="F114" s="1089"/>
      <c r="G114" s="1089"/>
    </row>
    <row r="115" spans="1:8">
      <c r="A115" s="341"/>
      <c r="B115" s="1089"/>
      <c r="C115" s="1089"/>
      <c r="D115" s="1089"/>
      <c r="E115" s="1089"/>
      <c r="F115" s="1089"/>
      <c r="G115" s="1089"/>
    </row>
    <row r="116" spans="1:8">
      <c r="A116" s="340" t="b">
        <f ca="1">IF('BO Fin'!B52&lt;0,TRUE,FALSE)</f>
        <v>0</v>
      </c>
      <c r="B116" s="1080" t="str">
        <f ca="1">"1 € investi dans le projet génère une perte de "&amp;ROUND('BO Fin'!C68,2)&amp;" €. Le projet n'est donc pasrentable."</f>
        <v>1 € investi dans le projet génère une perte de 0 €. Le projet n'est donc pasrentable.</v>
      </c>
      <c r="C116" s="1080"/>
      <c r="D116" s="1080"/>
      <c r="E116" s="1080"/>
      <c r="F116" s="1080"/>
      <c r="G116" s="1080"/>
    </row>
    <row r="117" spans="1:8">
      <c r="A117" s="341"/>
      <c r="B117" s="1080"/>
      <c r="C117" s="1080"/>
      <c r="D117" s="1080"/>
      <c r="E117" s="1080"/>
      <c r="F117" s="1080"/>
      <c r="G117" s="1080"/>
    </row>
    <row r="118" spans="1:8">
      <c r="A118" s="19"/>
      <c r="B118" s="19"/>
      <c r="C118" s="19"/>
      <c r="D118" s="19"/>
      <c r="E118" s="19"/>
      <c r="F118" s="19"/>
      <c r="G118" s="19"/>
    </row>
    <row r="119" spans="1:8">
      <c r="A119" s="1076" t="str">
        <f ca="1">VLOOKUP(TRUE,A121:G123,2,FALSE)</f>
        <v>Le capital investi est récupéré au bout de 0 ans et 0 mois et 0 jours, soit 0 mois sur 84.</v>
      </c>
      <c r="B119" s="1076"/>
      <c r="C119" s="1076"/>
      <c r="D119" s="1076"/>
      <c r="E119" s="1076"/>
      <c r="F119" s="1076"/>
      <c r="G119" s="1076"/>
    </row>
    <row r="120" spans="1:8">
      <c r="A120" s="1076"/>
      <c r="B120" s="1076"/>
      <c r="C120" s="1076"/>
      <c r="D120" s="1076"/>
      <c r="E120" s="1076"/>
      <c r="F120" s="1076"/>
      <c r="G120" s="1076"/>
    </row>
    <row r="121" spans="1:8">
      <c r="A121" s="141" t="b">
        <f ca="1">IF('BO Fin'!G68&gt;1,TRUE,FALSE)</f>
        <v>0</v>
      </c>
      <c r="B121" s="141" t="s">
        <v>517</v>
      </c>
      <c r="C121" s="141"/>
      <c r="D121" s="141"/>
      <c r="E121" s="141"/>
      <c r="F121" s="141"/>
      <c r="G121" s="141"/>
    </row>
    <row r="122" spans="1:8">
      <c r="A122" s="340" t="b">
        <f ca="1">IF(A121=TRUE,FALSE,TRUE)</f>
        <v>1</v>
      </c>
      <c r="B122" s="1080" t="str">
        <f ca="1">"Le capital investi est récupéré au bout de "&amp;'BO Fin'!A70&amp;" sur "&amp;C16&amp;"."</f>
        <v>Le capital investi est récupéré au bout de 0 ans et 0 mois et 0 jours, soit 0 mois sur 84.</v>
      </c>
      <c r="C122" s="1080"/>
      <c r="D122" s="1080"/>
      <c r="E122" s="1080"/>
      <c r="F122" s="1080"/>
      <c r="G122" s="1080"/>
    </row>
    <row r="123" spans="1:8">
      <c r="A123" s="341"/>
      <c r="B123" s="1080"/>
      <c r="C123" s="1080"/>
      <c r="D123" s="1080"/>
      <c r="E123" s="1080"/>
      <c r="F123" s="1080"/>
      <c r="G123" s="1080"/>
    </row>
    <row r="124" spans="1:8">
      <c r="A124" s="19"/>
      <c r="B124" s="19"/>
      <c r="C124" s="19"/>
      <c r="D124" s="19"/>
      <c r="E124" s="19"/>
      <c r="F124" s="19"/>
      <c r="G124" s="19"/>
    </row>
    <row r="125" spans="1:8">
      <c r="A125" s="391" t="e">
        <f>VLOOKUP(TRUE,A126:G128,2,FALSE)</f>
        <v>#N/A</v>
      </c>
      <c r="B125" s="1076" t="e">
        <f>VLOOKUP(TRUE,A126:G128,3,FALSE)</f>
        <v>#N/A</v>
      </c>
      <c r="C125" s="1076"/>
      <c r="D125" s="1076"/>
      <c r="E125" s="1076"/>
      <c r="F125" s="1076"/>
      <c r="G125" s="1076"/>
    </row>
    <row r="126" spans="1:8" ht="15" customHeight="1">
      <c r="A126" s="340" t="b">
        <f>IF('P7'!I42&lt;'P7'!I43,TRUE,FALSE)</f>
        <v>0</v>
      </c>
      <c r="B126" s="340">
        <v>-1</v>
      </c>
      <c r="C126" s="1129" t="str">
        <f>"Le seuil de rentabilité n'est pas atteint. La mise en place du projet fait perdre de l'argent."</f>
        <v>Le seuil de rentabilité n'est pas atteint. La mise en place du projet fait perdre de l'argent.</v>
      </c>
      <c r="D126" s="1130"/>
      <c r="E126" s="1130"/>
      <c r="F126" s="1130"/>
      <c r="G126" s="1131"/>
      <c r="H126" s="199"/>
    </row>
    <row r="127" spans="1:8">
      <c r="A127" s="389"/>
      <c r="B127" s="389"/>
      <c r="C127" s="1132"/>
      <c r="D127" s="894"/>
      <c r="E127" s="894"/>
      <c r="F127" s="894"/>
      <c r="G127" s="893"/>
      <c r="H127" s="199"/>
    </row>
    <row r="128" spans="1:8">
      <c r="A128" s="141" t="b">
        <f>IF('P7'!I42&gt;'P7'!I43,TRUE,FALSE)</f>
        <v>0</v>
      </c>
      <c r="B128" s="141">
        <v>1</v>
      </c>
      <c r="C128" s="1080" t="str">
        <f>"Le projet rapporte de l'argent à partir de "&amp;ROUND('P7'!I43,0)&amp;" € de CA HT."</f>
        <v>Le projet rapporte de l'argent à partir de 0 € de CA HT.</v>
      </c>
      <c r="D128" s="1080"/>
      <c r="E128" s="1080"/>
      <c r="F128" s="1080"/>
      <c r="G128" s="1080"/>
      <c r="H128" s="19"/>
    </row>
    <row r="129" spans="1:8">
      <c r="A129" s="19"/>
      <c r="B129" s="19"/>
      <c r="C129" s="19"/>
      <c r="D129" s="19"/>
      <c r="E129" s="19"/>
      <c r="F129" s="19"/>
      <c r="G129" s="19"/>
    </row>
    <row r="130" spans="1:8" ht="15" customHeight="1">
      <c r="A130" s="395">
        <v>0.15</v>
      </c>
      <c r="B130" s="392" t="e">
        <f>VLOOKUP(TRUE,A133:G139,2,FALSE)</f>
        <v>#N/A</v>
      </c>
      <c r="C130" s="1103" t="e">
        <f>VLOOKUP(TRUE,A133:G139,3,FALSE)</f>
        <v>#N/A</v>
      </c>
      <c r="D130" s="1103"/>
      <c r="E130" s="1103"/>
      <c r="F130" s="1103"/>
      <c r="G130" s="1104"/>
    </row>
    <row r="131" spans="1:8">
      <c r="A131" s="396"/>
      <c r="B131" s="393"/>
      <c r="C131" s="1133"/>
      <c r="D131" s="1133"/>
      <c r="E131" s="1133"/>
      <c r="F131" s="1133"/>
      <c r="G131" s="1134"/>
    </row>
    <row r="132" spans="1:8">
      <c r="A132" s="397"/>
      <c r="B132" s="394"/>
      <c r="C132" s="1106"/>
      <c r="D132" s="1106"/>
      <c r="E132" s="1106"/>
      <c r="F132" s="1106"/>
      <c r="G132" s="1107"/>
    </row>
    <row r="133" spans="1:8" ht="15" customHeight="1">
      <c r="A133" s="340" t="b">
        <f>IF('P7'!I44&gt;BO!A130,TRUE,FALSE)</f>
        <v>0</v>
      </c>
      <c r="B133" s="389">
        <v>1</v>
      </c>
      <c r="C133" s="1122" t="str">
        <f>"Si le CA prévisionnel de "&amp;'P7'!I42&amp;" € baisse de "&amp;ROUND('P7'!I44,4)*100&amp;"%, soit "&amp;ROUND('BO Fin'!I82,0)&amp;" €, les sommes investies dans le projet sont tout justes récupérées (pas de perte, pas de gain). La marge de sécurité est confortable."</f>
        <v>Si le CA prévisionnel de 0 € baisse de 0%, soit 0 €, les sommes investies dans le projet sont tout justes récupérées (pas de perte, pas de gain). La marge de sécurité est confortable.</v>
      </c>
      <c r="D133" s="1123"/>
      <c r="E133" s="1123"/>
      <c r="F133" s="1123"/>
      <c r="G133" s="1124"/>
      <c r="H133" s="14"/>
    </row>
    <row r="134" spans="1:8">
      <c r="A134" s="389"/>
      <c r="B134" s="389"/>
      <c r="C134" s="1125"/>
      <c r="D134" s="973"/>
      <c r="E134" s="973"/>
      <c r="F134" s="973"/>
      <c r="G134" s="1126"/>
      <c r="H134" s="14"/>
    </row>
    <row r="135" spans="1:8" ht="15" customHeight="1">
      <c r="A135" s="341"/>
      <c r="B135" s="341"/>
      <c r="C135" s="1127"/>
      <c r="D135" s="995"/>
      <c r="E135" s="995"/>
      <c r="F135" s="995"/>
      <c r="G135" s="1128"/>
      <c r="H135" s="14"/>
    </row>
    <row r="136" spans="1:8">
      <c r="A136" s="340" t="b">
        <f>IF(AND('P7'!I44&gt;0,'P7'!I44&lt;BO!A130),TRUE,FALSE)</f>
        <v>0</v>
      </c>
      <c r="B136" s="340">
        <v>0</v>
      </c>
      <c r="C136" s="1122" t="str">
        <f>"Si le CA prévisionnel de "&amp;'P7'!I42&amp;" € baisse de "&amp;ROUND('P7'!I44,4)*100&amp;"%, soit "&amp;ROUND('BO Fin'!I82,0)&amp;" €, les sommes investies dans le projet sont tout justes récupérées (pas de perte, pas de gain). La marge de sécurité est réduite."</f>
        <v>Si le CA prévisionnel de 0 € baisse de 0%, soit 0 €, les sommes investies dans le projet sont tout justes récupérées (pas de perte, pas de gain). La marge de sécurité est réduite.</v>
      </c>
      <c r="D136" s="1123"/>
      <c r="E136" s="1123"/>
      <c r="F136" s="1123"/>
      <c r="G136" s="1124"/>
      <c r="H136" s="14"/>
    </row>
    <row r="137" spans="1:8">
      <c r="A137" s="389"/>
      <c r="B137" s="389"/>
      <c r="C137" s="1125"/>
      <c r="D137" s="973"/>
      <c r="E137" s="973"/>
      <c r="F137" s="973"/>
      <c r="G137" s="1126"/>
    </row>
    <row r="138" spans="1:8">
      <c r="A138" s="341"/>
      <c r="B138" s="341"/>
      <c r="C138" s="1127"/>
      <c r="D138" s="995"/>
      <c r="E138" s="995"/>
      <c r="F138" s="995"/>
      <c r="G138" s="1128"/>
    </row>
    <row r="139" spans="1:8">
      <c r="A139" s="141" t="b">
        <f>IF('P7'!I44&lt;0,TRUE,FALSE)</f>
        <v>0</v>
      </c>
      <c r="B139" s="141">
        <v>-1</v>
      </c>
      <c r="C139" s="20" t="s">
        <v>520</v>
      </c>
      <c r="D139" s="217"/>
      <c r="E139" s="217"/>
      <c r="F139" s="217"/>
      <c r="G139" s="21"/>
    </row>
    <row r="140" spans="1:8">
      <c r="A140" s="19"/>
      <c r="B140" s="19"/>
      <c r="C140" s="19"/>
      <c r="D140" s="19"/>
      <c r="E140" s="19"/>
      <c r="F140" s="19"/>
      <c r="G140" s="19"/>
    </row>
    <row r="141" spans="1:8">
      <c r="A141" s="398">
        <v>2</v>
      </c>
      <c r="B141" s="398">
        <f>VLOOKUP(TRUE,A143:G146,2,FALSE)</f>
        <v>1</v>
      </c>
      <c r="C141" s="1102" t="str">
        <f>VLOOKUP(TRUE,A143:G146,3,FALSE)</f>
        <v>Une diminution de 1% du CA HT entraîne une baisse de l'EBE de 0%. Levier opérationnel faible : risque maîtrisé.</v>
      </c>
      <c r="D141" s="1103"/>
      <c r="E141" s="1103"/>
      <c r="F141" s="1103"/>
      <c r="G141" s="1104"/>
    </row>
    <row r="142" spans="1:8">
      <c r="A142" s="397"/>
      <c r="B142" s="397"/>
      <c r="C142" s="1105"/>
      <c r="D142" s="1106"/>
      <c r="E142" s="1106"/>
      <c r="F142" s="1106"/>
      <c r="G142" s="1107"/>
    </row>
    <row r="143" spans="1:8" ht="15" customHeight="1">
      <c r="A143" s="340" t="b">
        <f>IF('P7'!I45&gt;=BO!A141,TRUE,FALSE)</f>
        <v>0</v>
      </c>
      <c r="B143" s="340">
        <v>-1</v>
      </c>
      <c r="C143" s="1089" t="str">
        <f>"Une diminution de 1% du CA HT entraîne une baisse de l'EBE de "&amp;ROUND('P7'!I45,2)&amp;"%. Levier opérationnel élevé : risque important."</f>
        <v>Une diminution de 1% du CA HT entraîne une baisse de l'EBE de 0%. Levier opérationnel élevé : risque important.</v>
      </c>
      <c r="D143" s="1089"/>
      <c r="E143" s="1089"/>
      <c r="F143" s="1089"/>
      <c r="G143" s="1089"/>
      <c r="H143" s="199"/>
    </row>
    <row r="144" spans="1:8">
      <c r="A144" s="341"/>
      <c r="B144" s="341"/>
      <c r="C144" s="1089"/>
      <c r="D144" s="1089"/>
      <c r="E144" s="1089"/>
      <c r="F144" s="1089"/>
      <c r="G144" s="1089"/>
      <c r="H144" s="199"/>
    </row>
    <row r="145" spans="1:11" ht="15" customHeight="1">
      <c r="A145" s="340" t="b">
        <f>IF('P7'!I45&lt;A141,TRUE,FALSE)</f>
        <v>1</v>
      </c>
      <c r="B145" s="340">
        <v>1</v>
      </c>
      <c r="C145" s="1089" t="str">
        <f>"Une diminution de 1% du CA HT entraîne une baisse de l'EBE de "&amp;ROUND('P7'!I45,2)&amp;"%. Levier opérationnel faible : risque maîtrisé."</f>
        <v>Une diminution de 1% du CA HT entraîne une baisse de l'EBE de 0%. Levier opérationnel faible : risque maîtrisé.</v>
      </c>
      <c r="D145" s="1089"/>
      <c r="E145" s="1089"/>
      <c r="F145" s="1089"/>
      <c r="G145" s="1089"/>
      <c r="H145" s="199"/>
    </row>
    <row r="146" spans="1:11">
      <c r="A146" s="341"/>
      <c r="B146" s="341"/>
      <c r="C146" s="1089"/>
      <c r="D146" s="1089"/>
      <c r="E146" s="1089"/>
      <c r="F146" s="1089"/>
      <c r="G146" s="1089"/>
      <c r="H146" s="199"/>
    </row>
    <row r="147" spans="1:11">
      <c r="A147" s="19"/>
      <c r="B147" s="19"/>
      <c r="C147" s="19"/>
      <c r="D147" s="19"/>
      <c r="E147" s="19"/>
      <c r="F147" s="19"/>
      <c r="G147" s="19"/>
    </row>
    <row r="148" spans="1:11">
      <c r="A148" s="19"/>
      <c r="B148" s="19"/>
      <c r="C148" s="19"/>
      <c r="D148" s="19"/>
      <c r="E148" s="19"/>
      <c r="F148" s="19"/>
      <c r="G148" s="19"/>
    </row>
    <row r="149" spans="1:11">
      <c r="A149" s="13" t="s">
        <v>543</v>
      </c>
      <c r="B149" s="13"/>
      <c r="C149" s="19"/>
      <c r="D149" s="19"/>
      <c r="E149" s="19"/>
      <c r="F149" s="19"/>
      <c r="G149" s="19"/>
    </row>
    <row r="150" spans="1:11">
      <c r="A150" s="19"/>
      <c r="B150" s="19"/>
      <c r="C150" s="19"/>
      <c r="D150" s="19"/>
      <c r="E150" s="19"/>
      <c r="F150" s="19"/>
      <c r="G150" s="19"/>
    </row>
    <row r="151" spans="1:11">
      <c r="A151" s="1076" t="str">
        <f>VLOOKUP(TRUE,A153:G158,2,FALSE)</f>
        <v>Le financement par crédit-bail qu'il soit avec ou sans l'option d'achat améliore la rentabilité du projet.</v>
      </c>
      <c r="B151" s="1076"/>
      <c r="C151" s="1076"/>
      <c r="D151" s="1076"/>
      <c r="E151" s="1076"/>
      <c r="F151" s="1076"/>
      <c r="G151" s="1076"/>
    </row>
    <row r="152" spans="1:11">
      <c r="A152" s="1076"/>
      <c r="B152" s="1076"/>
      <c r="C152" s="1076"/>
      <c r="D152" s="1076"/>
      <c r="E152" s="1076"/>
      <c r="F152" s="1076"/>
      <c r="G152" s="1076"/>
    </row>
    <row r="153" spans="1:11">
      <c r="A153" s="340" t="b">
        <f>IF(AND('BO Cout Fin'!C29&lt;0,'BO Cout Fin'!C30&lt;0),TRUE,FALSE)</f>
        <v>0</v>
      </c>
      <c r="B153" s="1089" t="s">
        <v>488</v>
      </c>
      <c r="C153" s="1089"/>
      <c r="D153" s="1089"/>
      <c r="E153" s="1089"/>
      <c r="F153" s="1089"/>
      <c r="G153" s="1089"/>
      <c r="H153" s="19"/>
    </row>
    <row r="154" spans="1:11">
      <c r="A154" s="389"/>
      <c r="B154" s="1089"/>
      <c r="C154" s="1089"/>
      <c r="D154" s="1089"/>
      <c r="E154" s="1089"/>
      <c r="F154" s="1089"/>
      <c r="G154" s="1089"/>
      <c r="H154" s="19"/>
    </row>
    <row r="155" spans="1:11">
      <c r="A155" s="141" t="b">
        <f>IF(AND('BO Cout Fin'!C29&lt;0,A153=FALSE),TRUE,FALSE)</f>
        <v>0</v>
      </c>
      <c r="B155" s="822" t="s">
        <v>544</v>
      </c>
      <c r="C155" s="822"/>
      <c r="D155" s="822"/>
      <c r="E155" s="822"/>
      <c r="F155" s="822"/>
      <c r="G155" s="822"/>
      <c r="H155" s="19"/>
    </row>
    <row r="156" spans="1:11">
      <c r="A156" s="141" t="b">
        <f>IF(AND('BO Cout Fin'!C30&lt;0,BO!A153=FALSE),TRUE,FALSE)</f>
        <v>0</v>
      </c>
      <c r="B156" s="822" t="s">
        <v>545</v>
      </c>
      <c r="C156" s="822"/>
      <c r="D156" s="822"/>
      <c r="E156" s="822"/>
      <c r="F156" s="822"/>
      <c r="G156" s="822"/>
      <c r="H156" s="19"/>
    </row>
    <row r="157" spans="1:11">
      <c r="A157" s="389" t="b">
        <f>IF(AND(A153=FALSE,A155=FALSE,A156=FALSE),TRUE,FALSE)</f>
        <v>1</v>
      </c>
      <c r="B157" s="1108" t="s">
        <v>547</v>
      </c>
      <c r="C157" s="1108"/>
      <c r="D157" s="1108"/>
      <c r="E157" s="1108"/>
      <c r="F157" s="1108"/>
      <c r="G157" s="1108"/>
      <c r="H157" s="19"/>
    </row>
    <row r="158" spans="1:11">
      <c r="A158" s="341"/>
      <c r="B158" s="1108"/>
      <c r="C158" s="1108"/>
      <c r="D158" s="1108"/>
      <c r="E158" s="1108"/>
      <c r="F158" s="1108"/>
      <c r="G158" s="1108"/>
    </row>
    <row r="159" spans="1:11">
      <c r="A159" s="19"/>
      <c r="B159" s="19"/>
      <c r="C159" s="19"/>
      <c r="D159" s="19"/>
      <c r="E159" s="19"/>
      <c r="F159" s="19"/>
      <c r="G159" s="19"/>
      <c r="K159" s="12"/>
    </row>
    <row r="160" spans="1:11">
      <c r="A160" s="1085" t="str">
        <f ca="1">VLOOKUP(TRUE,A162:G167,2,FALSE)</f>
        <v>Les sommes investies sont récupérées au bout de 0 mois , peu importe que le financement par crédit-bail soit avec ou sans option d'achat.</v>
      </c>
      <c r="B160" s="1085"/>
      <c r="C160" s="1085"/>
      <c r="D160" s="1085"/>
      <c r="E160" s="1085"/>
      <c r="F160" s="1085"/>
      <c r="G160" s="1085"/>
      <c r="K160" s="12"/>
    </row>
    <row r="161" spans="1:11">
      <c r="A161" s="1085"/>
      <c r="B161" s="1085"/>
      <c r="C161" s="1085"/>
      <c r="D161" s="1085"/>
      <c r="E161" s="1085"/>
      <c r="F161" s="1085"/>
      <c r="G161" s="1085"/>
      <c r="K161" s="12"/>
    </row>
    <row r="162" spans="1:11">
      <c r="A162" s="340" t="b">
        <f ca="1">IF('BO Cout Fin'!D67&lt;'BO Cout Fin'!D49,TRUE,FALSE)</f>
        <v>0</v>
      </c>
      <c r="B162" s="1155" t="str">
        <f ca="1">"C'est le financement AVEC option d'achat qui permet de récupérer les sommes investies le plus rapidement, au bout de "&amp;ROUND('BO Cout Fin'!D67,0)&amp;" mois."</f>
        <v>C'est le financement AVEC option d'achat qui permet de récupérer les sommes investies le plus rapidement, au bout de 0 mois.</v>
      </c>
      <c r="C162" s="1155"/>
      <c r="D162" s="1155"/>
      <c r="E162" s="1155"/>
      <c r="F162" s="1155"/>
      <c r="G162" s="1155"/>
      <c r="K162" s="12"/>
    </row>
    <row r="163" spans="1:11">
      <c r="A163" s="341"/>
      <c r="B163" s="1089"/>
      <c r="C163" s="1089"/>
      <c r="D163" s="1089"/>
      <c r="E163" s="1089"/>
      <c r="F163" s="1089"/>
      <c r="G163" s="1089"/>
    </row>
    <row r="164" spans="1:11">
      <c r="A164" s="340" t="b">
        <f ca="1">IF('BO Cout Fin'!D49&lt;'BO Cout Fin'!D67,TRUE,FALSE)</f>
        <v>0</v>
      </c>
      <c r="B164" s="1089" t="str">
        <f ca="1">"C'est le financement SANS option d'achat qui permet de récupérer les sommes investies le plus rapidement, au bout de "&amp;ROUND('BO Cout Fin'!D49,0)&amp;" mois."</f>
        <v>C'est le financement SANS option d'achat qui permet de récupérer les sommes investies le plus rapidement, au bout de 0 mois.</v>
      </c>
      <c r="C164" s="1089"/>
      <c r="D164" s="1089"/>
      <c r="E164" s="1089"/>
      <c r="F164" s="1089"/>
      <c r="G164" s="1089"/>
    </row>
    <row r="165" spans="1:11">
      <c r="A165" s="341"/>
      <c r="B165" s="1089"/>
      <c r="C165" s="1089"/>
      <c r="D165" s="1089"/>
      <c r="E165" s="1089"/>
      <c r="F165" s="1089"/>
      <c r="G165" s="1089"/>
    </row>
    <row r="166" spans="1:11">
      <c r="A166" s="340" t="b">
        <f ca="1">IF('BO Cout Fin'!D67='BO Cout Fin'!D49,TRUE,FALSE)</f>
        <v>1</v>
      </c>
      <c r="B166" s="1089" t="str">
        <f ca="1">"Les sommes investies sont récupérées au bout de "&amp;ROUND('BO Cout Fin'!D49,0)&amp;" mois , peu importe que le financement par crédit-bail soit avec ou sans option d'achat."</f>
        <v>Les sommes investies sont récupérées au bout de 0 mois , peu importe que le financement par crédit-bail soit avec ou sans option d'achat.</v>
      </c>
      <c r="C166" s="1089"/>
      <c r="D166" s="1089"/>
      <c r="E166" s="1089"/>
      <c r="F166" s="1089"/>
      <c r="G166" s="1089"/>
    </row>
    <row r="167" spans="1:11">
      <c r="A167" s="341"/>
      <c r="B167" s="1089"/>
      <c r="C167" s="1089"/>
      <c r="D167" s="1089"/>
      <c r="E167" s="1089"/>
      <c r="F167" s="1089"/>
      <c r="G167" s="1089"/>
    </row>
    <row r="168" spans="1:11">
      <c r="A168" s="19"/>
      <c r="B168" s="19"/>
      <c r="C168" s="19"/>
      <c r="D168" s="19"/>
      <c r="E168" s="19"/>
      <c r="F168" s="19"/>
      <c r="G168" s="19"/>
    </row>
    <row r="169" spans="1:11">
      <c r="A169" s="1149" t="str">
        <f>VLOOKUP(TRUE,A171:G176,2,FALSE)</f>
        <v>Le financement du crédit-bail qu'il soit avec ou sans option d'achat offre le même niveau de risque.</v>
      </c>
      <c r="B169" s="1150"/>
      <c r="C169" s="1150"/>
      <c r="D169" s="1150"/>
      <c r="E169" s="1150"/>
      <c r="F169" s="1150"/>
      <c r="G169" s="1151"/>
    </row>
    <row r="170" spans="1:11">
      <c r="A170" s="1152"/>
      <c r="B170" s="1153"/>
      <c r="C170" s="1153"/>
      <c r="D170" s="1153"/>
      <c r="E170" s="1153"/>
      <c r="F170" s="1153"/>
      <c r="G170" s="1154"/>
    </row>
    <row r="171" spans="1:11">
      <c r="A171" s="340" t="b">
        <f>IF('BO Cout Fin'!T31&lt;'BO Cout Fin'!T45,TRUE,FALSE)</f>
        <v>0</v>
      </c>
      <c r="B171" s="1089" t="s">
        <v>549</v>
      </c>
      <c r="C171" s="1089"/>
      <c r="D171" s="1089"/>
      <c r="E171" s="1089"/>
      <c r="F171" s="1089"/>
      <c r="G171" s="1089"/>
    </row>
    <row r="172" spans="1:11">
      <c r="A172" s="341"/>
      <c r="B172" s="1089"/>
      <c r="C172" s="1089"/>
      <c r="D172" s="1089"/>
      <c r="E172" s="1089"/>
      <c r="F172" s="1089"/>
      <c r="G172" s="1089"/>
    </row>
    <row r="173" spans="1:11">
      <c r="A173" s="340" t="b">
        <f>IF('BO Cout Fin'!T45&lt;'BO Cout Fin'!T31,TRUE,FALSE)</f>
        <v>0</v>
      </c>
      <c r="B173" s="1089" t="s">
        <v>550</v>
      </c>
      <c r="C173" s="1089"/>
      <c r="D173" s="1089"/>
      <c r="E173" s="1089"/>
      <c r="F173" s="1089"/>
      <c r="G173" s="1089"/>
    </row>
    <row r="174" spans="1:11">
      <c r="A174" s="341"/>
      <c r="B174" s="1089"/>
      <c r="C174" s="1089"/>
      <c r="D174" s="1089"/>
      <c r="E174" s="1089"/>
      <c r="F174" s="1089"/>
      <c r="G174" s="1089"/>
    </row>
    <row r="175" spans="1:11">
      <c r="A175" s="340" t="b">
        <f>IF('BO Cout Fin'!T45='BO Cout Fin'!T31,TRUE,FALSE)</f>
        <v>1</v>
      </c>
      <c r="B175" s="1089" t="s">
        <v>548</v>
      </c>
      <c r="C175" s="1089"/>
      <c r="D175" s="1089"/>
      <c r="E175" s="1089"/>
      <c r="F175" s="1089"/>
      <c r="G175" s="1089"/>
    </row>
    <row r="176" spans="1:11">
      <c r="A176" s="341"/>
      <c r="B176" s="1089"/>
      <c r="C176" s="1089"/>
      <c r="D176" s="1089"/>
      <c r="E176" s="1089"/>
      <c r="F176" s="1089"/>
      <c r="G176" s="1089"/>
    </row>
    <row r="177" spans="1:7">
      <c r="A177" s="19"/>
      <c r="B177" s="19"/>
      <c r="C177" s="19"/>
      <c r="D177" s="19"/>
      <c r="E177" s="19"/>
      <c r="F177" s="19"/>
      <c r="G177" s="19"/>
    </row>
    <row r="178" spans="1:7">
      <c r="A178" s="19"/>
      <c r="B178" s="19"/>
      <c r="C178" s="19"/>
      <c r="D178" s="19"/>
      <c r="E178" s="19"/>
      <c r="F178" s="19"/>
      <c r="G178" s="19"/>
    </row>
    <row r="179" spans="1:7">
      <c r="A179" s="19"/>
      <c r="B179" s="19"/>
      <c r="C179" s="19"/>
      <c r="D179" s="19"/>
      <c r="E179" s="19"/>
      <c r="F179" s="19"/>
      <c r="G179" s="19"/>
    </row>
    <row r="180" spans="1:7">
      <c r="A180" s="19"/>
      <c r="B180" s="19"/>
      <c r="C180" s="19"/>
      <c r="D180" s="19"/>
      <c r="E180" s="19"/>
      <c r="F180" s="19"/>
      <c r="G180" s="19"/>
    </row>
    <row r="181" spans="1:7">
      <c r="A181" s="19"/>
      <c r="B181" s="19"/>
      <c r="C181" s="19"/>
      <c r="D181" s="19"/>
      <c r="E181" s="19"/>
      <c r="F181" s="19"/>
      <c r="G181" s="19"/>
    </row>
    <row r="182" spans="1:7">
      <c r="A182" s="19"/>
      <c r="B182" s="19"/>
      <c r="C182" s="19"/>
      <c r="D182" s="19"/>
      <c r="E182" s="19"/>
      <c r="F182" s="19"/>
      <c r="G182" s="19"/>
    </row>
    <row r="183" spans="1:7">
      <c r="A183" s="19"/>
      <c r="B183" s="19"/>
      <c r="C183" s="19"/>
      <c r="D183" s="19"/>
      <c r="E183" s="19"/>
      <c r="F183" s="19"/>
      <c r="G183" s="19"/>
    </row>
    <row r="184" spans="1:7">
      <c r="A184" s="19"/>
      <c r="B184" s="19"/>
      <c r="C184" s="19"/>
      <c r="D184" s="19"/>
      <c r="E184" s="19"/>
      <c r="F184" s="19"/>
      <c r="G184" s="19"/>
    </row>
    <row r="185" spans="1:7">
      <c r="A185" s="19"/>
      <c r="B185" s="19"/>
      <c r="C185" s="19"/>
      <c r="D185" s="19"/>
      <c r="E185" s="19"/>
      <c r="F185" s="19"/>
      <c r="G185" s="19"/>
    </row>
    <row r="186" spans="1:7">
      <c r="A186" s="19"/>
      <c r="B186" s="19"/>
      <c r="C186" s="19"/>
      <c r="D186" s="19"/>
      <c r="E186" s="19"/>
      <c r="F186" s="19"/>
      <c r="G186" s="19"/>
    </row>
    <row r="187" spans="1:7">
      <c r="A187" s="19"/>
      <c r="B187" s="19"/>
      <c r="C187" s="19"/>
      <c r="D187" s="19"/>
      <c r="E187" s="19"/>
      <c r="F187" s="19"/>
      <c r="G187" s="19"/>
    </row>
    <row r="188" spans="1:7">
      <c r="A188" s="19"/>
      <c r="B188" s="19"/>
      <c r="C188" s="19"/>
      <c r="D188" s="19"/>
      <c r="E188" s="19"/>
      <c r="F188" s="19"/>
      <c r="G188" s="19"/>
    </row>
    <row r="189" spans="1:7">
      <c r="A189" s="19"/>
      <c r="B189" s="19"/>
      <c r="C189" s="19"/>
      <c r="D189" s="19"/>
      <c r="E189" s="19"/>
      <c r="F189" s="19"/>
      <c r="G189" s="19"/>
    </row>
    <row r="190" spans="1:7">
      <c r="A190" s="19"/>
      <c r="B190" s="19"/>
      <c r="C190" s="19"/>
      <c r="D190" s="19"/>
      <c r="E190" s="19"/>
      <c r="F190" s="19"/>
      <c r="G190" s="19"/>
    </row>
    <row r="191" spans="1:7">
      <c r="A191" s="19"/>
      <c r="B191" s="19"/>
      <c r="C191" s="19"/>
      <c r="D191" s="19"/>
      <c r="E191" s="19"/>
      <c r="F191" s="19"/>
      <c r="G191" s="19"/>
    </row>
    <row r="192" spans="1:7">
      <c r="A192" s="19"/>
      <c r="B192" s="19"/>
      <c r="C192" s="19"/>
      <c r="D192" s="19"/>
      <c r="E192" s="19"/>
      <c r="F192" s="19"/>
      <c r="G192" s="19"/>
    </row>
    <row r="193" spans="1:7">
      <c r="A193" s="19"/>
      <c r="B193" s="19"/>
      <c r="C193" s="19"/>
      <c r="D193" s="19"/>
      <c r="E193" s="19"/>
      <c r="F193" s="19"/>
      <c r="G193" s="19"/>
    </row>
    <row r="194" spans="1:7">
      <c r="A194" s="19"/>
      <c r="B194" s="19"/>
      <c r="C194" s="19"/>
      <c r="D194" s="19"/>
      <c r="E194" s="19"/>
      <c r="F194" s="19"/>
      <c r="G194" s="19"/>
    </row>
    <row r="195" spans="1:7">
      <c r="A195" s="19"/>
      <c r="B195" s="19"/>
      <c r="C195" s="19"/>
      <c r="D195" s="19"/>
      <c r="E195" s="19"/>
      <c r="F195" s="19"/>
      <c r="G195" s="19"/>
    </row>
    <row r="196" spans="1:7">
      <c r="A196" s="19"/>
      <c r="B196" s="19"/>
      <c r="C196" s="19"/>
      <c r="D196" s="19"/>
      <c r="E196" s="19"/>
      <c r="F196" s="19"/>
      <c r="G196" s="19"/>
    </row>
    <row r="197" spans="1:7">
      <c r="A197" s="19"/>
      <c r="B197" s="19"/>
      <c r="C197" s="19"/>
      <c r="D197" s="19"/>
      <c r="E197" s="19"/>
      <c r="F197" s="19"/>
      <c r="G197" s="19"/>
    </row>
    <row r="198" spans="1:7">
      <c r="A198" s="19"/>
      <c r="B198" s="19"/>
      <c r="C198" s="19"/>
      <c r="D198" s="19"/>
      <c r="E198" s="19"/>
      <c r="F198" s="19"/>
      <c r="G198" s="19"/>
    </row>
    <row r="199" spans="1:7">
      <c r="A199" s="19"/>
      <c r="B199" s="19"/>
      <c r="C199" s="19"/>
      <c r="D199" s="19"/>
      <c r="E199" s="19"/>
      <c r="F199" s="19"/>
      <c r="G199" s="19"/>
    </row>
    <row r="200" spans="1:7">
      <c r="A200" s="19"/>
      <c r="B200" s="19"/>
      <c r="C200" s="19"/>
      <c r="D200" s="19"/>
      <c r="E200" s="19"/>
      <c r="F200" s="19"/>
      <c r="G200" s="19"/>
    </row>
    <row r="201" spans="1:7">
      <c r="A201" s="19"/>
      <c r="B201" s="19"/>
      <c r="C201" s="19"/>
      <c r="D201" s="19"/>
      <c r="E201" s="19"/>
      <c r="F201" s="19"/>
      <c r="G201" s="19"/>
    </row>
    <row r="202" spans="1:7">
      <c r="A202" s="19"/>
      <c r="B202" s="19"/>
      <c r="C202" s="19"/>
      <c r="D202" s="19"/>
      <c r="E202" s="19"/>
      <c r="F202" s="19"/>
      <c r="G202" s="19"/>
    </row>
    <row r="203" spans="1:7">
      <c r="A203" s="19"/>
      <c r="B203" s="19"/>
      <c r="C203" s="19"/>
      <c r="D203" s="19"/>
      <c r="E203" s="19"/>
      <c r="F203" s="19"/>
      <c r="G203" s="19"/>
    </row>
    <row r="204" spans="1:7">
      <c r="A204" s="19"/>
      <c r="B204" s="19"/>
      <c r="C204" s="19"/>
      <c r="D204" s="19"/>
      <c r="E204" s="19"/>
      <c r="F204" s="19"/>
      <c r="G204" s="19"/>
    </row>
    <row r="205" spans="1:7">
      <c r="A205" s="19"/>
      <c r="B205" s="19"/>
      <c r="C205" s="19"/>
      <c r="D205" s="19"/>
      <c r="E205" s="19"/>
      <c r="F205" s="19"/>
      <c r="G205" s="19"/>
    </row>
    <row r="206" spans="1:7">
      <c r="A206" s="19"/>
      <c r="B206" s="19"/>
      <c r="C206" s="19"/>
      <c r="D206" s="19"/>
      <c r="E206" s="19"/>
      <c r="F206" s="19"/>
      <c r="G206" s="19"/>
    </row>
    <row r="207" spans="1:7">
      <c r="A207" s="19"/>
      <c r="B207" s="19"/>
      <c r="C207" s="19"/>
      <c r="D207" s="19"/>
      <c r="E207" s="19"/>
      <c r="F207" s="19"/>
      <c r="G207" s="19"/>
    </row>
    <row r="208" spans="1:7">
      <c r="A208" s="19"/>
      <c r="B208" s="19"/>
      <c r="C208" s="19"/>
      <c r="D208" s="19"/>
      <c r="E208" s="19"/>
      <c r="F208" s="19"/>
      <c r="G208" s="19"/>
    </row>
    <row r="209" spans="1:7">
      <c r="A209" s="19"/>
      <c r="B209" s="19"/>
      <c r="C209" s="19"/>
      <c r="D209" s="19"/>
      <c r="E209" s="19"/>
      <c r="F209" s="19"/>
      <c r="G209" s="19"/>
    </row>
    <row r="210" spans="1:7">
      <c r="A210" s="19"/>
      <c r="B210" s="19"/>
      <c r="C210" s="19"/>
      <c r="D210" s="19"/>
      <c r="E210" s="19"/>
      <c r="F210" s="19"/>
      <c r="G210" s="19"/>
    </row>
    <row r="211" spans="1:7">
      <c r="A211" s="19"/>
      <c r="B211" s="19"/>
      <c r="C211" s="19"/>
      <c r="D211" s="19"/>
      <c r="E211" s="19"/>
      <c r="F211" s="19"/>
      <c r="G211" s="19"/>
    </row>
    <row r="212" spans="1:7">
      <c r="A212" s="19"/>
      <c r="B212" s="19"/>
      <c r="C212" s="19"/>
      <c r="D212" s="19"/>
      <c r="E212" s="19"/>
      <c r="F212" s="19"/>
      <c r="G212" s="19"/>
    </row>
    <row r="213" spans="1:7">
      <c r="A213" s="19"/>
      <c r="B213" s="19"/>
      <c r="C213" s="19"/>
      <c r="D213" s="19"/>
      <c r="E213" s="19"/>
      <c r="F213" s="19"/>
      <c r="G213" s="19"/>
    </row>
    <row r="214" spans="1:7">
      <c r="A214" s="19"/>
      <c r="B214" s="19"/>
      <c r="C214" s="19"/>
      <c r="D214" s="19"/>
      <c r="E214" s="19"/>
      <c r="F214" s="19"/>
      <c r="G214" s="19"/>
    </row>
    <row r="215" spans="1:7">
      <c r="A215" s="19"/>
      <c r="B215" s="19"/>
      <c r="C215" s="19"/>
      <c r="D215" s="19"/>
      <c r="E215" s="19"/>
      <c r="F215" s="19"/>
      <c r="G215" s="19"/>
    </row>
    <row r="216" spans="1:7">
      <c r="A216" s="19"/>
      <c r="B216" s="19"/>
      <c r="C216" s="19"/>
      <c r="D216" s="19"/>
      <c r="E216" s="19"/>
      <c r="F216" s="19"/>
      <c r="G216" s="19"/>
    </row>
    <row r="217" spans="1:7">
      <c r="A217" s="19"/>
      <c r="B217" s="19"/>
      <c r="C217" s="19"/>
      <c r="D217" s="19"/>
      <c r="E217" s="19"/>
      <c r="F217" s="19"/>
      <c r="G217" s="19"/>
    </row>
    <row r="218" spans="1:7">
      <c r="A218" s="19"/>
      <c r="B218" s="19"/>
      <c r="C218" s="19"/>
      <c r="D218" s="19"/>
      <c r="E218" s="19"/>
      <c r="F218" s="19"/>
      <c r="G218" s="19"/>
    </row>
    <row r="219" spans="1:7">
      <c r="A219" s="19"/>
      <c r="B219" s="19"/>
      <c r="C219" s="19"/>
      <c r="D219" s="19"/>
      <c r="E219" s="19"/>
      <c r="F219" s="19"/>
      <c r="G219" s="19"/>
    </row>
    <row r="220" spans="1:7">
      <c r="A220" s="19"/>
      <c r="B220" s="19"/>
      <c r="C220" s="19"/>
      <c r="D220" s="19"/>
      <c r="E220" s="19"/>
      <c r="F220" s="19"/>
      <c r="G220" s="19"/>
    </row>
    <row r="221" spans="1:7">
      <c r="A221" s="19"/>
      <c r="B221" s="19"/>
      <c r="C221" s="19"/>
      <c r="D221" s="19"/>
      <c r="E221" s="19"/>
      <c r="F221" s="19"/>
      <c r="G221" s="19"/>
    </row>
    <row r="222" spans="1:7">
      <c r="A222" s="19"/>
      <c r="B222" s="19"/>
      <c r="C222" s="19"/>
      <c r="D222" s="19"/>
      <c r="E222" s="19"/>
      <c r="F222" s="19"/>
      <c r="G222" s="19"/>
    </row>
    <row r="223" spans="1:7">
      <c r="A223" s="19"/>
      <c r="B223" s="19"/>
      <c r="C223" s="19"/>
      <c r="D223" s="19"/>
      <c r="E223" s="19"/>
      <c r="F223" s="19"/>
      <c r="G223" s="19"/>
    </row>
    <row r="224" spans="1:7">
      <c r="A224" s="19"/>
      <c r="B224" s="19"/>
      <c r="C224" s="19"/>
      <c r="D224" s="19"/>
      <c r="E224" s="19"/>
      <c r="F224" s="19"/>
      <c r="G224" s="19"/>
    </row>
    <row r="225" spans="1:7">
      <c r="A225" s="19"/>
      <c r="B225" s="19"/>
      <c r="C225" s="19"/>
      <c r="D225" s="19"/>
      <c r="E225" s="19"/>
      <c r="F225" s="19"/>
      <c r="G225" s="19"/>
    </row>
    <row r="226" spans="1:7">
      <c r="A226" s="19"/>
      <c r="B226" s="19"/>
      <c r="C226" s="19"/>
      <c r="D226" s="19"/>
      <c r="E226" s="19"/>
      <c r="F226" s="19"/>
      <c r="G226" s="19"/>
    </row>
    <row r="227" spans="1:7">
      <c r="A227" s="19"/>
      <c r="B227" s="19"/>
      <c r="C227" s="19"/>
      <c r="D227" s="19"/>
      <c r="E227" s="19"/>
      <c r="F227" s="19"/>
      <c r="G227" s="19"/>
    </row>
    <row r="228" spans="1:7">
      <c r="A228" s="19"/>
      <c r="B228" s="19"/>
      <c r="C228" s="19"/>
      <c r="D228" s="19"/>
      <c r="E228" s="19"/>
      <c r="F228" s="19"/>
      <c r="G228" s="19"/>
    </row>
    <row r="229" spans="1:7">
      <c r="A229" s="19"/>
      <c r="B229" s="19"/>
      <c r="C229" s="19"/>
      <c r="D229" s="19"/>
      <c r="E229" s="19"/>
      <c r="F229" s="19"/>
      <c r="G229" s="19"/>
    </row>
    <row r="230" spans="1:7">
      <c r="A230" s="19"/>
      <c r="B230" s="19"/>
      <c r="C230" s="19"/>
      <c r="D230" s="19"/>
      <c r="E230" s="19"/>
      <c r="F230" s="19"/>
      <c r="G230" s="19"/>
    </row>
    <row r="231" spans="1:7">
      <c r="A231" s="19"/>
      <c r="B231" s="19"/>
      <c r="C231" s="19"/>
      <c r="D231" s="19"/>
      <c r="E231" s="19"/>
      <c r="F231" s="19"/>
      <c r="G231" s="19"/>
    </row>
    <row r="232" spans="1:7">
      <c r="A232" s="19"/>
      <c r="B232" s="19"/>
      <c r="C232" s="19"/>
      <c r="D232" s="19"/>
      <c r="E232" s="19"/>
      <c r="F232" s="19"/>
      <c r="G232" s="19"/>
    </row>
    <row r="233" spans="1:7">
      <c r="A233" s="19"/>
      <c r="B233" s="19"/>
      <c r="C233" s="19"/>
      <c r="D233" s="19"/>
      <c r="E233" s="19"/>
      <c r="F233" s="19"/>
      <c r="G233" s="19"/>
    </row>
    <row r="234" spans="1:7">
      <c r="A234" s="19"/>
      <c r="B234" s="19"/>
      <c r="C234" s="19"/>
      <c r="D234" s="19"/>
      <c r="E234" s="19"/>
      <c r="F234" s="19"/>
      <c r="G234" s="19"/>
    </row>
    <row r="235" spans="1:7">
      <c r="A235" s="19"/>
      <c r="B235" s="19"/>
      <c r="C235" s="19"/>
      <c r="D235" s="19"/>
      <c r="E235" s="19"/>
      <c r="F235" s="19"/>
      <c r="G235" s="19"/>
    </row>
    <row r="236" spans="1:7">
      <c r="A236" s="19"/>
      <c r="B236" s="19"/>
      <c r="C236" s="19"/>
      <c r="D236" s="19"/>
      <c r="E236" s="19"/>
      <c r="F236" s="19"/>
      <c r="G236" s="19"/>
    </row>
    <row r="237" spans="1:7">
      <c r="A237" s="19"/>
      <c r="B237" s="19"/>
      <c r="C237" s="19"/>
      <c r="D237" s="19"/>
      <c r="E237" s="19"/>
      <c r="F237" s="19"/>
      <c r="G237" s="19"/>
    </row>
    <row r="238" spans="1:7">
      <c r="A238" s="19"/>
      <c r="B238" s="19"/>
      <c r="C238" s="19"/>
      <c r="D238" s="19"/>
      <c r="E238" s="19"/>
      <c r="F238" s="19"/>
      <c r="G238" s="19"/>
    </row>
    <row r="239" spans="1:7">
      <c r="A239" s="19"/>
      <c r="B239" s="19"/>
      <c r="C239" s="19"/>
      <c r="D239" s="19"/>
      <c r="E239" s="19"/>
      <c r="F239" s="19"/>
      <c r="G239" s="19"/>
    </row>
    <row r="240" spans="1:7">
      <c r="A240" s="19"/>
      <c r="B240" s="19"/>
      <c r="C240" s="19"/>
      <c r="D240" s="19"/>
      <c r="E240" s="19"/>
      <c r="F240" s="19"/>
      <c r="G240" s="19"/>
    </row>
    <row r="241" spans="1:7">
      <c r="A241" s="19"/>
      <c r="B241" s="19"/>
      <c r="C241" s="19"/>
      <c r="D241" s="19"/>
      <c r="E241" s="19"/>
      <c r="F241" s="19"/>
      <c r="G241" s="19"/>
    </row>
    <row r="242" spans="1:7">
      <c r="A242" s="19"/>
      <c r="B242" s="19"/>
      <c r="C242" s="19"/>
      <c r="D242" s="19"/>
      <c r="E242" s="19"/>
      <c r="F242" s="19"/>
      <c r="G242" s="19"/>
    </row>
    <row r="243" spans="1:7">
      <c r="A243" s="19"/>
      <c r="B243" s="19"/>
      <c r="C243" s="19"/>
      <c r="D243" s="19"/>
      <c r="E243" s="19"/>
      <c r="F243" s="19"/>
      <c r="G243" s="19"/>
    </row>
    <row r="244" spans="1:7">
      <c r="A244" s="19"/>
      <c r="B244" s="19"/>
      <c r="C244" s="19"/>
      <c r="D244" s="19"/>
      <c r="E244" s="19"/>
      <c r="F244" s="19"/>
      <c r="G244" s="19"/>
    </row>
    <row r="245" spans="1:7">
      <c r="A245" s="19"/>
      <c r="B245" s="19"/>
      <c r="C245" s="19"/>
      <c r="D245" s="19"/>
      <c r="E245" s="19"/>
      <c r="F245" s="19"/>
      <c r="G245" s="19"/>
    </row>
    <row r="246" spans="1:7">
      <c r="A246" s="19"/>
      <c r="B246" s="19"/>
      <c r="C246" s="19"/>
      <c r="D246" s="19"/>
      <c r="E246" s="19"/>
      <c r="F246" s="19"/>
      <c r="G246" s="19"/>
    </row>
    <row r="247" spans="1:7">
      <c r="A247" s="19"/>
      <c r="B247" s="19"/>
      <c r="C247" s="19"/>
      <c r="D247" s="19"/>
      <c r="E247" s="19"/>
      <c r="F247" s="19"/>
      <c r="G247" s="19"/>
    </row>
    <row r="248" spans="1:7">
      <c r="A248" s="19"/>
      <c r="B248" s="19"/>
      <c r="C248" s="19"/>
      <c r="D248" s="19"/>
      <c r="E248" s="19"/>
      <c r="F248" s="19"/>
      <c r="G248" s="19"/>
    </row>
    <row r="249" spans="1:7">
      <c r="A249" s="19"/>
      <c r="B249" s="19"/>
      <c r="C249" s="19"/>
      <c r="D249" s="19"/>
      <c r="E249" s="19"/>
      <c r="F249" s="19"/>
      <c r="G249" s="19"/>
    </row>
    <row r="250" spans="1:7">
      <c r="A250" s="19"/>
      <c r="B250" s="19"/>
      <c r="C250" s="19"/>
      <c r="D250" s="19"/>
      <c r="E250" s="19"/>
      <c r="F250" s="19"/>
      <c r="G250" s="19"/>
    </row>
    <row r="251" spans="1:7">
      <c r="A251" s="19"/>
      <c r="B251" s="19"/>
      <c r="C251" s="19"/>
      <c r="D251" s="19"/>
      <c r="E251" s="19"/>
      <c r="F251" s="19"/>
      <c r="G251" s="19"/>
    </row>
    <row r="252" spans="1:7">
      <c r="A252" s="19"/>
      <c r="B252" s="19"/>
      <c r="C252" s="19"/>
      <c r="D252" s="19"/>
      <c r="E252" s="19"/>
      <c r="F252" s="19"/>
      <c r="G252" s="19"/>
    </row>
    <row r="253" spans="1:7">
      <c r="A253" s="19"/>
      <c r="B253" s="19"/>
      <c r="C253" s="19"/>
      <c r="D253" s="19"/>
      <c r="E253" s="19"/>
      <c r="F253" s="19"/>
      <c r="G253" s="19"/>
    </row>
    <row r="254" spans="1:7">
      <c r="A254" s="19"/>
      <c r="B254" s="19"/>
      <c r="C254" s="19"/>
      <c r="D254" s="19"/>
      <c r="E254" s="19"/>
      <c r="F254" s="19"/>
      <c r="G254" s="19"/>
    </row>
    <row r="255" spans="1:7">
      <c r="A255" s="19"/>
      <c r="B255" s="19"/>
      <c r="C255" s="19"/>
      <c r="D255" s="19"/>
      <c r="E255" s="19"/>
      <c r="F255" s="19"/>
      <c r="G255" s="19"/>
    </row>
    <row r="256" spans="1:7">
      <c r="A256" s="19"/>
      <c r="B256" s="19"/>
      <c r="C256" s="19"/>
      <c r="D256" s="19"/>
      <c r="E256" s="19"/>
      <c r="F256" s="19"/>
      <c r="G256" s="19"/>
    </row>
    <row r="257" spans="1:7">
      <c r="A257" s="19"/>
      <c r="B257" s="19"/>
      <c r="C257" s="19"/>
      <c r="D257" s="19"/>
      <c r="E257" s="19"/>
      <c r="F257" s="19"/>
      <c r="G257" s="19"/>
    </row>
    <row r="258" spans="1:7">
      <c r="A258" s="19"/>
      <c r="B258" s="19"/>
      <c r="C258" s="19"/>
      <c r="D258" s="19"/>
      <c r="E258" s="19"/>
      <c r="F258" s="19"/>
      <c r="G258" s="19"/>
    </row>
    <row r="259" spans="1:7">
      <c r="A259" s="19"/>
      <c r="B259" s="19"/>
      <c r="C259" s="19"/>
      <c r="D259" s="19"/>
      <c r="E259" s="19"/>
      <c r="F259" s="19"/>
      <c r="G259" s="19"/>
    </row>
    <row r="260" spans="1:7">
      <c r="A260" s="19"/>
      <c r="B260" s="19"/>
      <c r="C260" s="19"/>
      <c r="D260" s="19"/>
      <c r="E260" s="19"/>
      <c r="F260" s="19"/>
      <c r="G260" s="19"/>
    </row>
    <row r="261" spans="1:7">
      <c r="A261" s="19"/>
      <c r="B261" s="19"/>
      <c r="C261" s="19"/>
      <c r="D261" s="19"/>
      <c r="E261" s="19"/>
      <c r="F261" s="19"/>
      <c r="G261" s="19"/>
    </row>
    <row r="262" spans="1:7">
      <c r="A262" s="19"/>
      <c r="B262" s="19"/>
      <c r="C262" s="19"/>
      <c r="D262" s="19"/>
      <c r="E262" s="19"/>
      <c r="F262" s="19"/>
      <c r="G262" s="19"/>
    </row>
    <row r="263" spans="1:7">
      <c r="A263" s="19"/>
      <c r="B263" s="19"/>
      <c r="C263" s="19"/>
      <c r="D263" s="19"/>
      <c r="E263" s="19"/>
      <c r="F263" s="19"/>
      <c r="G263" s="19"/>
    </row>
    <row r="264" spans="1:7">
      <c r="A264" s="19"/>
      <c r="B264" s="19"/>
      <c r="C264" s="19"/>
      <c r="D264" s="19"/>
      <c r="E264" s="19"/>
      <c r="F264" s="19"/>
      <c r="G264" s="19"/>
    </row>
    <row r="265" spans="1:7">
      <c r="A265" s="19"/>
      <c r="B265" s="19"/>
      <c r="C265" s="19"/>
      <c r="D265" s="19"/>
      <c r="E265" s="19"/>
      <c r="F265" s="19"/>
      <c r="G265" s="19"/>
    </row>
    <row r="266" spans="1:7">
      <c r="A266" s="19"/>
      <c r="B266" s="19"/>
      <c r="C266" s="19"/>
      <c r="D266" s="19"/>
      <c r="E266" s="19"/>
      <c r="F266" s="19"/>
      <c r="G266" s="19"/>
    </row>
    <row r="267" spans="1:7">
      <c r="A267" s="19"/>
      <c r="B267" s="19"/>
      <c r="C267" s="19"/>
      <c r="D267" s="19"/>
      <c r="E267" s="19"/>
      <c r="F267" s="19"/>
      <c r="G267" s="19"/>
    </row>
    <row r="268" spans="1:7">
      <c r="A268" s="19"/>
      <c r="B268" s="19"/>
      <c r="C268" s="19"/>
      <c r="D268" s="19"/>
      <c r="E268" s="19"/>
      <c r="F268" s="19"/>
      <c r="G268" s="19"/>
    </row>
    <row r="269" spans="1:7">
      <c r="A269" s="19"/>
      <c r="B269" s="19"/>
      <c r="C269" s="19"/>
      <c r="D269" s="19"/>
      <c r="E269" s="19"/>
      <c r="F269" s="19"/>
      <c r="G269" s="19"/>
    </row>
    <row r="270" spans="1:7">
      <c r="A270" s="19"/>
      <c r="B270" s="19"/>
      <c r="C270" s="19"/>
      <c r="D270" s="19"/>
      <c r="E270" s="19"/>
      <c r="F270" s="19"/>
      <c r="G270" s="19"/>
    </row>
    <row r="271" spans="1:7">
      <c r="A271" s="19"/>
      <c r="B271" s="19"/>
      <c r="C271" s="19"/>
      <c r="D271" s="19"/>
      <c r="E271" s="19"/>
      <c r="F271" s="19"/>
      <c r="G271" s="19"/>
    </row>
    <row r="272" spans="1:7">
      <c r="A272" s="19"/>
      <c r="B272" s="19"/>
      <c r="C272" s="19"/>
      <c r="D272" s="19"/>
      <c r="E272" s="19"/>
      <c r="F272" s="19"/>
      <c r="G272" s="19"/>
    </row>
    <row r="273" spans="1:7">
      <c r="A273" s="19"/>
      <c r="B273" s="19"/>
      <c r="C273" s="19"/>
      <c r="D273" s="19"/>
      <c r="E273" s="19"/>
      <c r="F273" s="19"/>
      <c r="G273" s="19"/>
    </row>
    <row r="274" spans="1:7">
      <c r="A274" s="19"/>
      <c r="B274" s="19"/>
      <c r="C274" s="19"/>
      <c r="D274" s="19"/>
      <c r="E274" s="19"/>
      <c r="F274" s="19"/>
      <c r="G274" s="19"/>
    </row>
    <row r="275" spans="1:7">
      <c r="A275" s="19"/>
      <c r="B275" s="19"/>
      <c r="C275" s="19"/>
      <c r="D275" s="19"/>
      <c r="E275" s="19"/>
      <c r="F275" s="19"/>
      <c r="G275" s="19"/>
    </row>
    <row r="276" spans="1:7">
      <c r="A276" s="19"/>
      <c r="B276" s="19"/>
      <c r="C276" s="19"/>
      <c r="D276" s="19"/>
      <c r="E276" s="19"/>
      <c r="F276" s="19"/>
      <c r="G276" s="19"/>
    </row>
    <row r="277" spans="1:7">
      <c r="A277" s="19"/>
      <c r="B277" s="19"/>
      <c r="C277" s="19"/>
      <c r="D277" s="19"/>
      <c r="E277" s="19"/>
      <c r="F277" s="19"/>
      <c r="G277" s="19"/>
    </row>
    <row r="278" spans="1:7">
      <c r="A278" s="19"/>
      <c r="B278" s="19"/>
      <c r="C278" s="19"/>
      <c r="D278" s="19"/>
      <c r="E278" s="19"/>
      <c r="F278" s="19"/>
      <c r="G278" s="19"/>
    </row>
    <row r="279" spans="1:7">
      <c r="A279" s="19"/>
      <c r="B279" s="19"/>
      <c r="C279" s="19"/>
      <c r="D279" s="19"/>
      <c r="E279" s="19"/>
      <c r="F279" s="19"/>
      <c r="G279" s="19"/>
    </row>
    <row r="280" spans="1:7">
      <c r="A280" s="19"/>
      <c r="B280" s="19"/>
      <c r="C280" s="19"/>
      <c r="D280" s="19"/>
      <c r="E280" s="19"/>
      <c r="F280" s="19"/>
      <c r="G280" s="19"/>
    </row>
    <row r="281" spans="1:7">
      <c r="A281" s="19"/>
      <c r="B281" s="19"/>
      <c r="C281" s="19"/>
      <c r="D281" s="19"/>
      <c r="E281" s="19"/>
      <c r="F281" s="19"/>
      <c r="G281" s="19"/>
    </row>
    <row r="282" spans="1:7">
      <c r="A282" s="19"/>
      <c r="B282" s="19"/>
      <c r="C282" s="19"/>
      <c r="D282" s="19"/>
      <c r="E282" s="19"/>
      <c r="F282" s="19"/>
      <c r="G282" s="19"/>
    </row>
    <row r="283" spans="1:7">
      <c r="A283" s="19"/>
      <c r="B283" s="19"/>
      <c r="C283" s="19"/>
      <c r="D283" s="19"/>
      <c r="E283" s="19"/>
      <c r="F283" s="19"/>
      <c r="G283" s="19"/>
    </row>
    <row r="284" spans="1:7">
      <c r="A284" s="19"/>
      <c r="B284" s="19"/>
      <c r="C284" s="19"/>
      <c r="D284" s="19"/>
      <c r="E284" s="19"/>
      <c r="F284" s="19"/>
      <c r="G284" s="19"/>
    </row>
    <row r="285" spans="1:7">
      <c r="A285" s="19"/>
      <c r="B285" s="19"/>
      <c r="C285" s="19"/>
      <c r="D285" s="19"/>
      <c r="E285" s="19"/>
      <c r="F285" s="19"/>
      <c r="G285" s="19"/>
    </row>
    <row r="286" spans="1:7">
      <c r="A286" s="19"/>
      <c r="B286" s="19"/>
      <c r="C286" s="19"/>
      <c r="D286" s="19"/>
      <c r="E286" s="19"/>
      <c r="F286" s="19"/>
      <c r="G286" s="19"/>
    </row>
    <row r="287" spans="1:7">
      <c r="A287" s="19"/>
      <c r="B287" s="19"/>
      <c r="C287" s="19"/>
      <c r="D287" s="19"/>
      <c r="E287" s="19"/>
      <c r="F287" s="19"/>
      <c r="G287" s="19"/>
    </row>
    <row r="288" spans="1:7">
      <c r="A288" s="19"/>
      <c r="B288" s="19"/>
      <c r="C288" s="19"/>
      <c r="D288" s="19"/>
      <c r="E288" s="19"/>
      <c r="F288" s="19"/>
      <c r="G288" s="19"/>
    </row>
    <row r="289" spans="1:7">
      <c r="A289" s="19"/>
      <c r="B289" s="19"/>
      <c r="C289" s="19"/>
      <c r="D289" s="19"/>
      <c r="E289" s="19"/>
      <c r="F289" s="19"/>
      <c r="G289" s="19"/>
    </row>
    <row r="290" spans="1:7">
      <c r="A290" s="19"/>
      <c r="B290" s="19"/>
      <c r="C290" s="19"/>
      <c r="D290" s="19"/>
      <c r="E290" s="19"/>
      <c r="F290" s="19"/>
      <c r="G290" s="19"/>
    </row>
    <row r="291" spans="1:7">
      <c r="A291" s="19"/>
      <c r="B291" s="19"/>
      <c r="C291" s="19"/>
      <c r="D291" s="19"/>
      <c r="E291" s="19"/>
      <c r="F291" s="19"/>
      <c r="G291" s="19"/>
    </row>
    <row r="292" spans="1:7">
      <c r="A292" s="19"/>
      <c r="B292" s="19"/>
      <c r="C292" s="19"/>
      <c r="D292" s="19"/>
      <c r="E292" s="19"/>
      <c r="F292" s="19"/>
      <c r="G292" s="19"/>
    </row>
    <row r="293" spans="1:7">
      <c r="A293" s="19"/>
      <c r="B293" s="19"/>
      <c r="C293" s="19"/>
      <c r="D293" s="19"/>
      <c r="E293" s="19"/>
      <c r="F293" s="19"/>
      <c r="G293" s="19"/>
    </row>
    <row r="294" spans="1:7">
      <c r="A294" s="19"/>
      <c r="B294" s="19"/>
      <c r="C294" s="19"/>
      <c r="D294" s="19"/>
      <c r="E294" s="19"/>
      <c r="F294" s="19"/>
      <c r="G294" s="19"/>
    </row>
    <row r="295" spans="1:7">
      <c r="A295" s="19"/>
      <c r="B295" s="19"/>
      <c r="C295" s="19"/>
      <c r="D295" s="19"/>
      <c r="E295" s="19"/>
      <c r="F295" s="19"/>
      <c r="G295" s="19"/>
    </row>
    <row r="296" spans="1:7">
      <c r="A296" s="19"/>
      <c r="B296" s="19"/>
      <c r="C296" s="19"/>
      <c r="D296" s="19"/>
      <c r="E296" s="19"/>
      <c r="F296" s="19"/>
      <c r="G296" s="19"/>
    </row>
    <row r="297" spans="1:7">
      <c r="A297" s="19"/>
      <c r="B297" s="19"/>
      <c r="C297" s="19"/>
      <c r="D297" s="19"/>
      <c r="E297" s="19"/>
      <c r="F297" s="19"/>
      <c r="G297" s="19"/>
    </row>
    <row r="298" spans="1:7">
      <c r="A298" s="19"/>
      <c r="B298" s="19"/>
      <c r="C298" s="19"/>
      <c r="D298" s="19"/>
      <c r="E298" s="19"/>
      <c r="F298" s="19"/>
      <c r="G298" s="19"/>
    </row>
    <row r="299" spans="1:7">
      <c r="A299" s="19"/>
      <c r="B299" s="19"/>
      <c r="C299" s="19"/>
      <c r="D299" s="19"/>
      <c r="E299" s="19"/>
      <c r="F299" s="19"/>
      <c r="G299" s="19"/>
    </row>
    <row r="300" spans="1:7">
      <c r="A300" s="19"/>
      <c r="B300" s="19"/>
      <c r="C300" s="19"/>
      <c r="D300" s="19"/>
      <c r="E300" s="19"/>
      <c r="F300" s="19"/>
      <c r="G300" s="19"/>
    </row>
    <row r="301" spans="1:7">
      <c r="A301" s="19"/>
      <c r="B301" s="19"/>
      <c r="C301" s="19"/>
      <c r="D301" s="19"/>
      <c r="E301" s="19"/>
      <c r="F301" s="19"/>
      <c r="G301" s="19"/>
    </row>
    <row r="302" spans="1:7">
      <c r="A302" s="19"/>
      <c r="B302" s="19"/>
      <c r="C302" s="19"/>
      <c r="D302" s="19"/>
      <c r="E302" s="19"/>
      <c r="F302" s="19"/>
      <c r="G302" s="19"/>
    </row>
    <row r="303" spans="1:7">
      <c r="A303" s="19"/>
      <c r="B303" s="19"/>
      <c r="C303" s="19"/>
      <c r="D303" s="19"/>
      <c r="E303" s="19"/>
      <c r="F303" s="19"/>
      <c r="G303" s="19"/>
    </row>
    <row r="304" spans="1:7">
      <c r="A304" s="19"/>
      <c r="B304" s="19"/>
      <c r="C304" s="19"/>
      <c r="D304" s="19"/>
      <c r="E304" s="19"/>
      <c r="F304" s="19"/>
      <c r="G304" s="19"/>
    </row>
    <row r="305" spans="1:7">
      <c r="A305" s="19"/>
      <c r="B305" s="19"/>
      <c r="C305" s="19"/>
      <c r="D305" s="19"/>
      <c r="E305" s="19"/>
      <c r="F305" s="19"/>
      <c r="G305" s="19"/>
    </row>
    <row r="306" spans="1:7">
      <c r="A306" s="19"/>
      <c r="B306" s="19"/>
      <c r="C306" s="19"/>
      <c r="D306" s="19"/>
      <c r="E306" s="19"/>
      <c r="F306" s="19"/>
      <c r="G306" s="19"/>
    </row>
    <row r="307" spans="1:7">
      <c r="A307" s="19"/>
      <c r="B307" s="19"/>
      <c r="C307" s="19"/>
      <c r="D307" s="19"/>
      <c r="E307" s="19"/>
      <c r="F307" s="19"/>
      <c r="G307" s="19"/>
    </row>
    <row r="308" spans="1:7">
      <c r="A308" s="19"/>
      <c r="B308" s="19"/>
      <c r="C308" s="19"/>
      <c r="D308" s="19"/>
      <c r="E308" s="19"/>
      <c r="F308" s="19"/>
      <c r="G308" s="19"/>
    </row>
    <row r="309" spans="1:7">
      <c r="A309" s="19"/>
      <c r="B309" s="19"/>
      <c r="C309" s="19"/>
      <c r="D309" s="19"/>
      <c r="E309" s="19"/>
      <c r="F309" s="19"/>
      <c r="G309" s="19"/>
    </row>
    <row r="310" spans="1:7">
      <c r="A310" s="19"/>
      <c r="B310" s="19"/>
      <c r="C310" s="19"/>
      <c r="D310" s="19"/>
      <c r="E310" s="19"/>
      <c r="F310" s="19"/>
      <c r="G310" s="19"/>
    </row>
    <row r="311" spans="1:7">
      <c r="A311" s="19"/>
      <c r="B311" s="19"/>
      <c r="C311" s="19"/>
      <c r="D311" s="19"/>
      <c r="E311" s="19"/>
      <c r="F311" s="19"/>
      <c r="G311" s="19"/>
    </row>
    <row r="312" spans="1:7">
      <c r="A312" s="19"/>
      <c r="B312" s="19"/>
      <c r="C312" s="19"/>
      <c r="D312" s="19"/>
      <c r="E312" s="19"/>
      <c r="F312" s="19"/>
      <c r="G312" s="19"/>
    </row>
    <row r="313" spans="1:7">
      <c r="A313" s="19"/>
      <c r="B313" s="19"/>
      <c r="C313" s="19"/>
      <c r="D313" s="19"/>
      <c r="E313" s="19"/>
      <c r="F313" s="19"/>
      <c r="G313" s="19"/>
    </row>
    <row r="314" spans="1:7">
      <c r="A314" s="19"/>
      <c r="B314" s="19"/>
      <c r="C314" s="19"/>
      <c r="D314" s="19"/>
      <c r="E314" s="19"/>
      <c r="F314" s="19"/>
      <c r="G314" s="19"/>
    </row>
    <row r="315" spans="1:7">
      <c r="A315" s="19"/>
      <c r="B315" s="19"/>
      <c r="C315" s="19"/>
      <c r="D315" s="19"/>
      <c r="E315" s="19"/>
      <c r="F315" s="19"/>
      <c r="G315" s="19"/>
    </row>
    <row r="316" spans="1:7">
      <c r="A316" s="19"/>
      <c r="B316" s="19"/>
      <c r="C316" s="19"/>
      <c r="D316" s="19"/>
      <c r="E316" s="19"/>
      <c r="F316" s="19"/>
      <c r="G316" s="19"/>
    </row>
    <row r="317" spans="1:7">
      <c r="A317" s="19"/>
      <c r="B317" s="19"/>
      <c r="C317" s="19"/>
      <c r="D317" s="19"/>
      <c r="E317" s="19"/>
      <c r="F317" s="19"/>
      <c r="G317" s="19"/>
    </row>
    <row r="318" spans="1:7">
      <c r="A318" s="19"/>
      <c r="B318" s="19"/>
      <c r="C318" s="19"/>
      <c r="D318" s="19"/>
      <c r="E318" s="19"/>
      <c r="F318" s="19"/>
      <c r="G318" s="19"/>
    </row>
    <row r="319" spans="1:7">
      <c r="A319" s="19"/>
      <c r="B319" s="19"/>
      <c r="C319" s="19"/>
      <c r="D319" s="19"/>
      <c r="E319" s="19"/>
      <c r="F319" s="19"/>
      <c r="G319" s="19"/>
    </row>
    <row r="320" spans="1:7">
      <c r="A320" s="19"/>
      <c r="B320" s="19"/>
      <c r="C320" s="19"/>
      <c r="D320" s="19"/>
      <c r="E320" s="19"/>
      <c r="F320" s="19"/>
      <c r="G320" s="19"/>
    </row>
    <row r="321" spans="1:7">
      <c r="A321" s="19"/>
      <c r="B321" s="19"/>
      <c r="C321" s="19"/>
      <c r="D321" s="19"/>
      <c r="E321" s="19"/>
      <c r="F321" s="19"/>
      <c r="G321" s="19"/>
    </row>
    <row r="322" spans="1:7">
      <c r="A322" s="19"/>
      <c r="B322" s="19"/>
      <c r="C322" s="19"/>
      <c r="D322" s="19"/>
      <c r="E322" s="19"/>
      <c r="F322" s="19"/>
      <c r="G322" s="19"/>
    </row>
    <row r="323" spans="1:7">
      <c r="A323" s="19"/>
      <c r="B323" s="19"/>
      <c r="C323" s="19"/>
      <c r="D323" s="19"/>
      <c r="E323" s="19"/>
      <c r="F323" s="19"/>
      <c r="G323" s="19"/>
    </row>
    <row r="324" spans="1:7">
      <c r="A324" s="19"/>
      <c r="B324" s="19"/>
      <c r="C324" s="19"/>
      <c r="D324" s="19"/>
      <c r="E324" s="19"/>
      <c r="F324" s="19"/>
      <c r="G324" s="19"/>
    </row>
    <row r="325" spans="1:7">
      <c r="A325" s="19"/>
      <c r="B325" s="19"/>
      <c r="C325" s="19"/>
      <c r="D325" s="19"/>
      <c r="E325" s="19"/>
      <c r="F325" s="19"/>
      <c r="G325" s="19"/>
    </row>
    <row r="326" spans="1:7">
      <c r="A326" s="19"/>
      <c r="B326" s="19"/>
      <c r="C326" s="19"/>
      <c r="D326" s="19"/>
      <c r="E326" s="19"/>
      <c r="F326" s="19"/>
      <c r="G326" s="19"/>
    </row>
    <row r="327" spans="1:7">
      <c r="A327" s="19"/>
      <c r="B327" s="19"/>
      <c r="C327" s="19"/>
      <c r="D327" s="19"/>
      <c r="E327" s="19"/>
      <c r="F327" s="19"/>
      <c r="G327" s="19"/>
    </row>
    <row r="328" spans="1:7">
      <c r="A328" s="19"/>
      <c r="B328" s="19"/>
      <c r="C328" s="19"/>
      <c r="D328" s="19"/>
      <c r="E328" s="19"/>
      <c r="F328" s="19"/>
      <c r="G328" s="19"/>
    </row>
    <row r="329" spans="1:7">
      <c r="A329" s="19"/>
      <c r="B329" s="19"/>
      <c r="C329" s="19"/>
      <c r="D329" s="19"/>
      <c r="E329" s="19"/>
      <c r="F329" s="19"/>
      <c r="G329" s="19"/>
    </row>
    <row r="330" spans="1:7">
      <c r="A330" s="19"/>
      <c r="B330" s="19"/>
      <c r="C330" s="19"/>
      <c r="D330" s="19"/>
      <c r="E330" s="19"/>
      <c r="F330" s="19"/>
      <c r="G330" s="19"/>
    </row>
    <row r="331" spans="1:7">
      <c r="A331" s="19"/>
      <c r="B331" s="19"/>
      <c r="C331" s="19"/>
      <c r="D331" s="19"/>
      <c r="E331" s="19"/>
      <c r="F331" s="19"/>
      <c r="G331" s="19"/>
    </row>
    <row r="332" spans="1:7">
      <c r="A332" s="19"/>
      <c r="B332" s="19"/>
      <c r="C332" s="19"/>
      <c r="D332" s="19"/>
      <c r="E332" s="19"/>
      <c r="F332" s="19"/>
      <c r="G332" s="19"/>
    </row>
    <row r="333" spans="1:7">
      <c r="A333" s="19"/>
      <c r="B333" s="19"/>
      <c r="C333" s="19"/>
      <c r="D333" s="19"/>
      <c r="E333" s="19"/>
      <c r="F333" s="19"/>
      <c r="G333" s="19"/>
    </row>
    <row r="334" spans="1:7">
      <c r="A334" s="19"/>
      <c r="B334" s="19"/>
      <c r="C334" s="19"/>
      <c r="D334" s="19"/>
      <c r="E334" s="19"/>
      <c r="F334" s="19"/>
      <c r="G334" s="19"/>
    </row>
    <row r="335" spans="1:7">
      <c r="A335" s="19"/>
      <c r="B335" s="19"/>
      <c r="C335" s="19"/>
      <c r="D335" s="19"/>
      <c r="E335" s="19"/>
      <c r="F335" s="19"/>
      <c r="G335" s="19"/>
    </row>
    <row r="336" spans="1:7">
      <c r="A336" s="19"/>
      <c r="B336" s="19"/>
      <c r="C336" s="19"/>
      <c r="D336" s="19"/>
      <c r="E336" s="19"/>
      <c r="F336" s="19"/>
      <c r="G336" s="19"/>
    </row>
    <row r="337" spans="1:7">
      <c r="A337" s="19"/>
      <c r="B337" s="19"/>
      <c r="C337" s="19"/>
      <c r="D337" s="19"/>
      <c r="E337" s="19"/>
      <c r="F337" s="19"/>
      <c r="G337" s="19"/>
    </row>
    <row r="338" spans="1:7">
      <c r="A338" s="19"/>
      <c r="B338" s="19"/>
      <c r="C338" s="19"/>
      <c r="D338" s="19"/>
      <c r="E338" s="19"/>
      <c r="F338" s="19"/>
      <c r="G338" s="19"/>
    </row>
    <row r="339" spans="1:7">
      <c r="A339" s="19"/>
      <c r="B339" s="19"/>
      <c r="C339" s="19"/>
      <c r="D339" s="19"/>
      <c r="E339" s="19"/>
      <c r="F339" s="19"/>
      <c r="G339" s="19"/>
    </row>
    <row r="340" spans="1:7">
      <c r="A340" s="19"/>
      <c r="B340" s="19"/>
      <c r="C340" s="19"/>
      <c r="D340" s="19"/>
      <c r="E340" s="19"/>
      <c r="F340" s="19"/>
      <c r="G340" s="19"/>
    </row>
    <row r="341" spans="1:7">
      <c r="A341" s="19"/>
      <c r="B341" s="19"/>
      <c r="C341" s="19"/>
      <c r="D341" s="19"/>
      <c r="E341" s="19"/>
      <c r="F341" s="19"/>
      <c r="G341" s="19"/>
    </row>
    <row r="342" spans="1:7">
      <c r="A342" s="19"/>
      <c r="B342" s="19"/>
      <c r="C342" s="19"/>
      <c r="D342" s="19"/>
      <c r="E342" s="19"/>
      <c r="F342" s="19"/>
      <c r="G342" s="19"/>
    </row>
    <row r="343" spans="1:7">
      <c r="A343" s="19"/>
      <c r="B343" s="19"/>
      <c r="C343" s="19"/>
      <c r="D343" s="19"/>
      <c r="E343" s="19"/>
      <c r="F343" s="19"/>
      <c r="G343" s="19"/>
    </row>
    <row r="344" spans="1:7">
      <c r="A344" s="19"/>
      <c r="B344" s="19"/>
      <c r="C344" s="19"/>
      <c r="D344" s="19"/>
      <c r="E344" s="19"/>
      <c r="F344" s="19"/>
      <c r="G344" s="19"/>
    </row>
    <row r="345" spans="1:7">
      <c r="A345" s="19"/>
      <c r="B345" s="19"/>
      <c r="C345" s="19"/>
      <c r="D345" s="19"/>
      <c r="E345" s="19"/>
      <c r="F345" s="19"/>
      <c r="G345" s="19"/>
    </row>
    <row r="346" spans="1:7">
      <c r="A346" s="19"/>
      <c r="B346" s="19"/>
      <c r="C346" s="19"/>
      <c r="D346" s="19"/>
      <c r="E346" s="19"/>
      <c r="F346" s="19"/>
      <c r="G346" s="19"/>
    </row>
    <row r="347" spans="1:7">
      <c r="A347" s="19"/>
      <c r="B347" s="19"/>
      <c r="C347" s="19"/>
      <c r="D347" s="19"/>
      <c r="E347" s="19"/>
      <c r="F347" s="19"/>
      <c r="G347" s="19"/>
    </row>
    <row r="348" spans="1:7">
      <c r="A348" s="19"/>
      <c r="B348" s="19"/>
      <c r="C348" s="19"/>
      <c r="D348" s="19"/>
      <c r="E348" s="19"/>
      <c r="F348" s="19"/>
      <c r="G348" s="19"/>
    </row>
    <row r="349" spans="1:7">
      <c r="A349" s="19"/>
      <c r="B349" s="19"/>
      <c r="C349" s="19"/>
      <c r="D349" s="19"/>
      <c r="E349" s="19"/>
      <c r="F349" s="19"/>
      <c r="G349" s="19"/>
    </row>
    <row r="350" spans="1:7">
      <c r="A350" s="19"/>
      <c r="B350" s="19"/>
      <c r="C350" s="19"/>
      <c r="D350" s="19"/>
      <c r="E350" s="19"/>
      <c r="F350" s="19"/>
      <c r="G350" s="19"/>
    </row>
    <row r="351" spans="1:7">
      <c r="A351" s="19"/>
      <c r="B351" s="19"/>
      <c r="C351" s="19"/>
      <c r="D351" s="19"/>
      <c r="E351" s="19"/>
      <c r="F351" s="19"/>
      <c r="G351" s="19"/>
    </row>
    <row r="352" spans="1:7">
      <c r="A352" s="19"/>
      <c r="B352" s="19"/>
      <c r="C352" s="19"/>
      <c r="D352" s="19"/>
      <c r="E352" s="19"/>
      <c r="F352" s="19"/>
      <c r="G352" s="19"/>
    </row>
    <row r="353" spans="1:7">
      <c r="A353" s="19"/>
      <c r="B353" s="19"/>
      <c r="C353" s="19"/>
      <c r="D353" s="19"/>
      <c r="E353" s="19"/>
      <c r="F353" s="19"/>
      <c r="G353" s="19"/>
    </row>
    <row r="354" spans="1:7">
      <c r="A354" s="19"/>
      <c r="B354" s="19"/>
      <c r="C354" s="19"/>
      <c r="D354" s="19"/>
      <c r="E354" s="19"/>
      <c r="F354" s="19"/>
      <c r="G354" s="19"/>
    </row>
    <row r="355" spans="1:7">
      <c r="A355" s="19"/>
      <c r="B355" s="19"/>
      <c r="C355" s="19"/>
      <c r="D355" s="19"/>
      <c r="E355" s="19"/>
      <c r="F355" s="19"/>
      <c r="G355" s="19"/>
    </row>
    <row r="356" spans="1:7">
      <c r="A356" s="19"/>
      <c r="B356" s="19"/>
      <c r="C356" s="19"/>
      <c r="D356" s="19"/>
      <c r="E356" s="19"/>
      <c r="F356" s="19"/>
      <c r="G356" s="19"/>
    </row>
    <row r="357" spans="1:7">
      <c r="A357" s="19"/>
      <c r="B357" s="19"/>
      <c r="C357" s="19"/>
      <c r="D357" s="19"/>
      <c r="E357" s="19"/>
      <c r="F357" s="19"/>
      <c r="G357" s="19"/>
    </row>
    <row r="358" spans="1:7">
      <c r="A358" s="19"/>
      <c r="B358" s="19"/>
      <c r="C358" s="19"/>
      <c r="D358" s="19"/>
      <c r="E358" s="19"/>
      <c r="F358" s="19"/>
      <c r="G358" s="19"/>
    </row>
    <row r="359" spans="1:7">
      <c r="A359" s="19"/>
      <c r="B359" s="19"/>
      <c r="C359" s="19"/>
      <c r="D359" s="19"/>
      <c r="E359" s="19"/>
      <c r="F359" s="19"/>
      <c r="G359" s="19"/>
    </row>
    <row r="360" spans="1:7">
      <c r="A360" s="19"/>
      <c r="B360" s="19"/>
      <c r="C360" s="19"/>
      <c r="D360" s="19"/>
      <c r="E360" s="19"/>
      <c r="F360" s="19"/>
      <c r="G360" s="19"/>
    </row>
    <row r="361" spans="1:7">
      <c r="A361" s="19"/>
      <c r="B361" s="19"/>
      <c r="C361" s="19"/>
      <c r="D361" s="19"/>
      <c r="E361" s="19"/>
      <c r="F361" s="19"/>
      <c r="G361" s="19"/>
    </row>
    <row r="362" spans="1:7">
      <c r="A362" s="19"/>
      <c r="B362" s="19"/>
      <c r="C362" s="19"/>
      <c r="D362" s="19"/>
      <c r="E362" s="19"/>
      <c r="F362" s="19"/>
      <c r="G362" s="19"/>
    </row>
    <row r="363" spans="1:7">
      <c r="A363" s="19"/>
      <c r="B363" s="19"/>
      <c r="C363" s="19"/>
      <c r="D363" s="19"/>
      <c r="E363" s="19"/>
      <c r="F363" s="19"/>
      <c r="G363" s="19"/>
    </row>
    <row r="364" spans="1:7">
      <c r="A364" s="19"/>
      <c r="B364" s="19"/>
      <c r="C364" s="19"/>
      <c r="D364" s="19"/>
      <c r="E364" s="19"/>
      <c r="F364" s="19"/>
      <c r="G364" s="19"/>
    </row>
    <row r="365" spans="1:7">
      <c r="A365" s="19"/>
      <c r="B365" s="19"/>
      <c r="C365" s="19"/>
      <c r="D365" s="19"/>
      <c r="E365" s="19"/>
      <c r="F365" s="19"/>
      <c r="G365" s="19"/>
    </row>
    <row r="366" spans="1:7">
      <c r="A366" s="19"/>
      <c r="B366" s="19"/>
      <c r="C366" s="19"/>
      <c r="D366" s="19"/>
      <c r="E366" s="19"/>
      <c r="F366" s="19"/>
      <c r="G366" s="19"/>
    </row>
    <row r="367" spans="1:7">
      <c r="A367" s="19"/>
      <c r="B367" s="19"/>
      <c r="C367" s="19"/>
      <c r="D367" s="19"/>
      <c r="E367" s="19"/>
      <c r="F367" s="19"/>
      <c r="G367" s="19"/>
    </row>
    <row r="368" spans="1:7">
      <c r="A368" s="19"/>
      <c r="B368" s="19"/>
      <c r="C368" s="19"/>
      <c r="D368" s="19"/>
      <c r="E368" s="19"/>
      <c r="F368" s="19"/>
      <c r="G368" s="19"/>
    </row>
    <row r="369" spans="1:7">
      <c r="A369" s="19"/>
      <c r="B369" s="19"/>
      <c r="C369" s="19"/>
      <c r="D369" s="19"/>
      <c r="E369" s="19"/>
      <c r="F369" s="19"/>
      <c r="G369" s="19"/>
    </row>
    <row r="370" spans="1:7">
      <c r="A370" s="19"/>
      <c r="B370" s="19"/>
      <c r="C370" s="19"/>
      <c r="D370" s="19"/>
      <c r="E370" s="19"/>
      <c r="F370" s="19"/>
      <c r="G370" s="19"/>
    </row>
    <row r="371" spans="1:7">
      <c r="A371" s="19"/>
      <c r="B371" s="19"/>
      <c r="C371" s="19"/>
      <c r="D371" s="19"/>
      <c r="E371" s="19"/>
      <c r="F371" s="19"/>
      <c r="G371" s="19"/>
    </row>
    <row r="372" spans="1:7">
      <c r="A372" s="19"/>
      <c r="B372" s="19"/>
      <c r="C372" s="19"/>
      <c r="D372" s="19"/>
      <c r="E372" s="19"/>
      <c r="F372" s="19"/>
      <c r="G372" s="19"/>
    </row>
    <row r="373" spans="1:7">
      <c r="A373" s="19"/>
      <c r="B373" s="19"/>
      <c r="C373" s="19"/>
      <c r="D373" s="19"/>
      <c r="E373" s="19"/>
      <c r="F373" s="19"/>
      <c r="G373" s="19"/>
    </row>
    <row r="374" spans="1:7">
      <c r="A374" s="19"/>
      <c r="B374" s="19"/>
      <c r="C374" s="19"/>
      <c r="D374" s="19"/>
      <c r="E374" s="19"/>
      <c r="F374" s="19"/>
      <c r="G374" s="19"/>
    </row>
    <row r="375" spans="1:7">
      <c r="A375" s="19"/>
      <c r="B375" s="19"/>
      <c r="C375" s="19"/>
      <c r="D375" s="19"/>
      <c r="E375" s="19"/>
      <c r="F375" s="19"/>
      <c r="G375" s="19"/>
    </row>
  </sheetData>
  <sheetProtection password="CF95" sheet="1" objects="1" scenarios="1"/>
  <mergeCells count="54">
    <mergeCell ref="B173:G174"/>
    <mergeCell ref="B175:G176"/>
    <mergeCell ref="A169:G170"/>
    <mergeCell ref="B162:G163"/>
    <mergeCell ref="B164:G165"/>
    <mergeCell ref="B166:G167"/>
    <mergeCell ref="B85:G85"/>
    <mergeCell ref="A90:G91"/>
    <mergeCell ref="A160:G161"/>
    <mergeCell ref="B171:G172"/>
    <mergeCell ref="B153:G154"/>
    <mergeCell ref="B155:G155"/>
    <mergeCell ref="B156:G156"/>
    <mergeCell ref="B157:G158"/>
    <mergeCell ref="B92:G93"/>
    <mergeCell ref="B107:G107"/>
    <mergeCell ref="B112:G113"/>
    <mergeCell ref="B114:G115"/>
    <mergeCell ref="B116:G117"/>
    <mergeCell ref="A110:G111"/>
    <mergeCell ref="A97:G99"/>
    <mergeCell ref="C133:G135"/>
    <mergeCell ref="B69:G69"/>
    <mergeCell ref="B74:G75"/>
    <mergeCell ref="B73:G73"/>
    <mergeCell ref="A71:G72"/>
    <mergeCell ref="A151:G152"/>
    <mergeCell ref="C141:G142"/>
    <mergeCell ref="C143:G144"/>
    <mergeCell ref="C145:G146"/>
    <mergeCell ref="B78:G78"/>
    <mergeCell ref="B79:G79"/>
    <mergeCell ref="A77:G77"/>
    <mergeCell ref="B83:G84"/>
    <mergeCell ref="A81:G82"/>
    <mergeCell ref="B94:G95"/>
    <mergeCell ref="B100:G102"/>
    <mergeCell ref="B103:G106"/>
    <mergeCell ref="I61:Q61"/>
    <mergeCell ref="B68:G68"/>
    <mergeCell ref="B45:G46"/>
    <mergeCell ref="A43:G44"/>
    <mergeCell ref="B52:G53"/>
    <mergeCell ref="A49:G50"/>
    <mergeCell ref="A67:G67"/>
    <mergeCell ref="A55:G57"/>
    <mergeCell ref="B58:G61"/>
    <mergeCell ref="C136:G138"/>
    <mergeCell ref="B122:G123"/>
    <mergeCell ref="A119:G120"/>
    <mergeCell ref="C126:G127"/>
    <mergeCell ref="C128:G128"/>
    <mergeCell ref="B125:G125"/>
    <mergeCell ref="C130:G13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X88"/>
  <sheetViews>
    <sheetView topLeftCell="A28" workbookViewId="0">
      <selection activeCell="O14" sqref="O14"/>
    </sheetView>
  </sheetViews>
  <sheetFormatPr baseColWidth="10" defaultRowHeight="15"/>
  <cols>
    <col min="1" max="1" width="15.7109375" customWidth="1"/>
    <col min="2" max="3" width="11.5703125" bestFit="1" customWidth="1"/>
    <col min="4" max="5" width="13.28515625" bestFit="1" customWidth="1"/>
    <col min="6" max="6" width="11.5703125" bestFit="1" customWidth="1"/>
    <col min="7" max="7" width="12.5703125" bestFit="1" customWidth="1"/>
    <col min="8" max="8" width="11.5703125" bestFit="1" customWidth="1"/>
    <col min="10" max="10" width="12" customWidth="1"/>
  </cols>
  <sheetData>
    <row r="1" spans="1:20">
      <c r="B1" s="233" t="s">
        <v>225</v>
      </c>
      <c r="C1" s="1157" t="s">
        <v>347</v>
      </c>
      <c r="D1" s="1157"/>
      <c r="E1" s="1157"/>
      <c r="F1" s="1157"/>
      <c r="G1" s="1157"/>
      <c r="H1" s="233" t="s">
        <v>348</v>
      </c>
      <c r="I1" s="233" t="s">
        <v>253</v>
      </c>
      <c r="J1" s="235" t="s">
        <v>351</v>
      </c>
      <c r="K1" s="235" t="s">
        <v>353</v>
      </c>
      <c r="L1" s="235" t="s">
        <v>355</v>
      </c>
      <c r="M1" s="235" t="s">
        <v>357</v>
      </c>
      <c r="N1" s="235" t="s">
        <v>359</v>
      </c>
    </row>
    <row r="2" spans="1:20">
      <c r="B2" s="234" t="s">
        <v>346</v>
      </c>
      <c r="C2" s="119" t="str">
        <f>'CACh prévi'!C31</f>
        <v/>
      </c>
      <c r="D2" s="119" t="str">
        <f>'CACh prévi'!D31</f>
        <v/>
      </c>
      <c r="E2" s="119" t="str">
        <f>'CACh prévi'!E31</f>
        <v/>
      </c>
      <c r="F2" s="119" t="str">
        <f>'CACh prévi'!F31</f>
        <v/>
      </c>
      <c r="G2" s="119" t="str">
        <f>'CACh prévi'!G31</f>
        <v/>
      </c>
      <c r="H2" s="234" t="s">
        <v>349</v>
      </c>
      <c r="I2" s="234" t="s">
        <v>350</v>
      </c>
      <c r="J2" s="204" t="s">
        <v>352</v>
      </c>
      <c r="K2" s="236" t="s">
        <v>354</v>
      </c>
      <c r="L2" s="236" t="s">
        <v>356</v>
      </c>
      <c r="M2" s="236" t="s">
        <v>358</v>
      </c>
      <c r="N2" s="236" t="s">
        <v>360</v>
      </c>
    </row>
    <row r="3" spans="1:20">
      <c r="A3" s="10" t="s">
        <v>345</v>
      </c>
      <c r="B3" s="281">
        <f>'CACh prévi'!H24+('BO Fin'!C7*'BO Fin'!B12/360)</f>
        <v>0</v>
      </c>
      <c r="C3" s="10">
        <v>0</v>
      </c>
      <c r="D3" s="10">
        <v>0</v>
      </c>
      <c r="E3" s="10">
        <v>0</v>
      </c>
      <c r="F3" s="10">
        <v>0</v>
      </c>
      <c r="G3" s="10">
        <v>0</v>
      </c>
      <c r="H3" s="272">
        <f ca="1">SUMIF(Fin!C22:D30,BO!F9,Fin!B22:B30)</f>
        <v>0</v>
      </c>
      <c r="I3" s="10">
        <v>0</v>
      </c>
      <c r="J3" s="270">
        <f ca="1">IF(B3-H3-I3&lt;0,0,B3-H3-I3)</f>
        <v>0</v>
      </c>
      <c r="K3" s="241">
        <f ca="1">J3*BO!D15/((1-(1+BO!D15)^(-BO!C16)))</f>
        <v>0</v>
      </c>
      <c r="L3" s="241">
        <f ca="1">IFERROR(ROUND((LN(Fin!$B$37)-LN(Fin!$B$37-BO!D15*J3))/LN(1+BO!D15),2),0)</f>
        <v>0</v>
      </c>
      <c r="M3" s="239">
        <f ca="1">IFERROR('BO AF'!$B$108/('BO AF'!$B$141+J3),0)</f>
        <v>0</v>
      </c>
      <c r="N3" s="247">
        <f ca="1">IFERROR(('BO AF'!$B$123+'BO Fin'!J3)/('BO AF'!$B$197+$B$17),0)</f>
        <v>0</v>
      </c>
    </row>
    <row r="4" spans="1:20">
      <c r="A4" s="10" t="str">
        <f>"Crédit-bail "&amp;BO!A22</f>
        <v xml:space="preserve">Crédit-bail </v>
      </c>
      <c r="B4" s="281">
        <f>B3</f>
        <v>0</v>
      </c>
      <c r="C4" s="10">
        <f>IF('CACh prévi'!C$35&gt;0,'CACh prévi'!C$24,0)</f>
        <v>0</v>
      </c>
      <c r="D4" s="10">
        <f>IF('CACh prévi'!D35&gt;0,'CACh prévi'!D24,0)</f>
        <v>0</v>
      </c>
      <c r="E4" s="10">
        <f>IF('CACh prévi'!E35&gt;0,'CACh prévi'!E24,0)</f>
        <v>0</v>
      </c>
      <c r="F4" s="10">
        <f>IF('CACh prévi'!F35&gt;0,'CACh prévi'!F24,0)</f>
        <v>0</v>
      </c>
      <c r="G4" s="10">
        <f>IF('CACh prévi'!G35&gt;0,'CACh prévi'!G24,0)</f>
        <v>0</v>
      </c>
      <c r="H4" s="272">
        <f ca="1">H3</f>
        <v>0</v>
      </c>
      <c r="I4" s="238">
        <f>MAX(C4:G4)</f>
        <v>0</v>
      </c>
      <c r="J4" s="270">
        <f t="shared" ref="J4:J6" ca="1" si="0">IF(B4-H4-I4&lt;0,0,B4-H4-I4)</f>
        <v>0</v>
      </c>
      <c r="K4" s="241">
        <f ca="1">J4*BO!D15/((1-(1+BO!D15)^(-BO!C16)))</f>
        <v>0</v>
      </c>
      <c r="L4" s="241">
        <f ca="1">IFERROR(ROUND((LN(Fin!$B$37)-LN(Fin!$B$37-BO!D15*J4))/LN(1+BO!D15),2),0)</f>
        <v>0</v>
      </c>
      <c r="M4" s="239">
        <f ca="1">IFERROR('BO AF'!$B$108/('BO AF'!$B$141+J4),0)</f>
        <v>0</v>
      </c>
      <c r="N4" s="247">
        <f ca="1">IFERROR(('BO AF'!$B$123+'BO Fin'!J4)/('BO AF'!$B$197+$B$17),0)</f>
        <v>0</v>
      </c>
    </row>
    <row r="5" spans="1:20">
      <c r="A5" s="10" t="str">
        <f>"Crédit-bail "&amp;BO!A23</f>
        <v xml:space="preserve">Crédit-bail </v>
      </c>
      <c r="B5" s="281">
        <f>B4</f>
        <v>0</v>
      </c>
      <c r="C5" s="10">
        <f>IF('CACh prévi'!C35&gt;0,'CACh prévi'!C24,0)</f>
        <v>0</v>
      </c>
      <c r="D5" s="10">
        <f>IF('CACh prévi'!D35&gt;0,'CACh prévi'!D24,0)</f>
        <v>0</v>
      </c>
      <c r="E5" s="10">
        <f>IF('CACh prévi'!E35&gt;0,'CACh prévi'!E24,0)</f>
        <v>0</v>
      </c>
      <c r="F5" s="10">
        <f>IF('CACh prévi'!F35&gt;0,'CACh prévi'!F24,0)</f>
        <v>0</v>
      </c>
      <c r="G5" s="10">
        <f>IF('CACh prévi'!G35&gt;0,'CACh prévi'!G24,0)</f>
        <v>0</v>
      </c>
      <c r="H5" s="272">
        <f ca="1">H4</f>
        <v>0</v>
      </c>
      <c r="I5" s="238">
        <f>IFERROR(SMALL(C5:G5,COUNTIF(C5:G5,0)+1),0)</f>
        <v>0</v>
      </c>
      <c r="J5" s="270">
        <f t="shared" ca="1" si="0"/>
        <v>0</v>
      </c>
      <c r="K5" s="241">
        <f ca="1">J5*BO!D15/((1-(1+BO!D15)^(-BO!C16)))</f>
        <v>0</v>
      </c>
      <c r="L5" s="241">
        <f ca="1">IFERROR(ROUND((LN(Fin!$B$37)-LN(Fin!$B$37-BO!D15*J5))/LN(1+BO!D15),2),0)</f>
        <v>0</v>
      </c>
      <c r="M5" s="239">
        <f ca="1">IFERROR('BO AF'!$B$108/('BO AF'!$B$141+J5),0)</f>
        <v>0</v>
      </c>
      <c r="N5" s="247">
        <f ca="1">IFERROR(('BO AF'!$B$123+'BO Fin'!J5)/('BO AF'!$B$197+$B$17),0)</f>
        <v>0</v>
      </c>
    </row>
    <row r="6" spans="1:20">
      <c r="A6" s="10" t="s">
        <v>674</v>
      </c>
      <c r="B6" s="281">
        <f>B5</f>
        <v>0</v>
      </c>
      <c r="C6" s="10">
        <f>IF('CACh prévi'!C35&gt;0,'CACh prévi'!C24,0)</f>
        <v>0</v>
      </c>
      <c r="D6" s="10">
        <f>IF('CACh prévi'!D35&gt;0,'CACh prévi'!D24,0)</f>
        <v>0</v>
      </c>
      <c r="E6" s="10">
        <f>IF('CACh prévi'!E35&gt;0,'CACh prévi'!E24,0)</f>
        <v>0</v>
      </c>
      <c r="F6" s="10">
        <f>IF('CACh prévi'!F35&gt;0,'CACh prévi'!F24,0)</f>
        <v>0</v>
      </c>
      <c r="G6" s="10">
        <f>IF('CACh prévi'!G35&gt;0,'CACh prévi'!G24,0)</f>
        <v>0</v>
      </c>
      <c r="H6" s="272">
        <f ca="1">H3</f>
        <v>0</v>
      </c>
      <c r="I6" s="271">
        <f>IF(A4=A5,0,I4+I5)</f>
        <v>0</v>
      </c>
      <c r="J6" s="270">
        <f t="shared" ca="1" si="0"/>
        <v>0</v>
      </c>
      <c r="K6" s="241">
        <f ca="1">J6*BO!D15/((1-(1+BO!D15)^(-BO!C16)))</f>
        <v>0</v>
      </c>
      <c r="L6" s="241">
        <f ca="1">IFERROR(ROUND((LN(Fin!$B$37)-LN(Fin!$B$37-BO!D15*J6))/LN(1+BO!D15),2),0)</f>
        <v>0</v>
      </c>
      <c r="M6" s="239">
        <f ca="1">IFERROR('BO AF'!$B$108/('BO AF'!$B$141+J6),0)</f>
        <v>0</v>
      </c>
      <c r="N6" s="247">
        <f ca="1">IFERROR(('BO AF'!$B$123+'BO Fin'!J6)/('BO AF'!$B$197+$B$17),0)</f>
        <v>0</v>
      </c>
    </row>
    <row r="7" spans="1:20">
      <c r="A7" s="377" t="s">
        <v>405</v>
      </c>
      <c r="B7" s="377"/>
      <c r="C7" s="378">
        <f>IF(K32&gt;30,L128,IF(MAX(B24:B25)&gt;30,MAX(B24:B25),30))</f>
        <v>30</v>
      </c>
      <c r="E7" s="282" t="s">
        <v>436</v>
      </c>
    </row>
    <row r="9" spans="1:20">
      <c r="A9" s="13" t="s">
        <v>361</v>
      </c>
      <c r="B9" s="2"/>
      <c r="L9" t="s">
        <v>458</v>
      </c>
      <c r="N9" s="575">
        <f>'CACh prévi'!B10</f>
        <v>0</v>
      </c>
      <c r="P9" s="1156" t="s">
        <v>666</v>
      </c>
      <c r="Q9" s="1156" t="s">
        <v>667</v>
      </c>
    </row>
    <row r="10" spans="1:20">
      <c r="B10" s="144" t="str">
        <f>'CACh prévi'!J25</f>
        <v>Année 1</v>
      </c>
      <c r="C10" s="144" t="str">
        <f>'CACh prévi'!K25</f>
        <v/>
      </c>
      <c r="D10" s="144" t="str">
        <f>'CACh prévi'!L25</f>
        <v/>
      </c>
      <c r="E10" s="144" t="str">
        <f>'CACh prévi'!M25</f>
        <v/>
      </c>
      <c r="F10" s="144" t="str">
        <f>'CACh prévi'!N25</f>
        <v/>
      </c>
      <c r="G10" s="144" t="str">
        <f>'CACh prévi'!O25</f>
        <v/>
      </c>
      <c r="H10" s="144" t="str">
        <f>'CACh prévi'!P25</f>
        <v/>
      </c>
      <c r="I10" s="144" t="s">
        <v>324</v>
      </c>
      <c r="K10" s="551" t="s">
        <v>663</v>
      </c>
      <c r="L10" s="551" t="s">
        <v>225</v>
      </c>
      <c r="M10" s="551" t="s">
        <v>662</v>
      </c>
      <c r="N10" s="101" t="s">
        <v>665</v>
      </c>
      <c r="O10" s="574" t="s">
        <v>664</v>
      </c>
      <c r="P10" s="1156"/>
      <c r="Q10" s="1156"/>
    </row>
    <row r="11" spans="1:20">
      <c r="B11" s="144">
        <v>12</v>
      </c>
      <c r="C11" s="144">
        <f>IF(ISBLANK('CACh prévi'!E15),12,IF('CACh prévi'!E15&gt;=24,12,IF('CACh prévi'!E15&lt;=12,0,'CACh prévi'!E15-12)))</f>
        <v>12</v>
      </c>
      <c r="D11" s="144">
        <f>IF(ISBLANK('CACh prévi'!E15),12,IF('CACh prévi'!E15&gt;=36,12,IF('CACh prévi'!E15&lt;=24,0,'CACh prévi'!E15-24)))</f>
        <v>12</v>
      </c>
      <c r="E11" s="144">
        <f>IF(ISBLANK('CACh prévi'!E15),12,IF('CACh prévi'!E15&gt;=48,12,IF('CACh prévi'!E15&lt;=36,0,'CACh prévi'!E15-36)))</f>
        <v>12</v>
      </c>
      <c r="F11" s="144">
        <f>IF(ISBLANK('CACh prévi'!E15),12,IF('CACh prévi'!E15&gt;=60,12,IF('CACh prévi'!E15&lt;=48,0,'CACh prévi'!E15-48)))</f>
        <v>12</v>
      </c>
      <c r="G11" s="144">
        <f>IF(ISBLANK('CACh prévi'!E15),12,IF('CACh prévi'!E15&gt;=72,12,IF('CACh prévi'!E15&lt;=60,0,'CACh prévi'!E15-60)))</f>
        <v>12</v>
      </c>
      <c r="H11" s="240">
        <f>IF(ISBLANK('CACh prévi'!E15),12,IF('CACh prévi'!E15&gt;=84,12,IF('CACh prévi'!E15&lt;=72,0,'CACh prévi'!E15-72)))</f>
        <v>12</v>
      </c>
      <c r="I11" s="10">
        <f>SUM(B11:H11)</f>
        <v>84</v>
      </c>
      <c r="K11" s="10">
        <f>'CACh prévi'!C23</f>
        <v>0</v>
      </c>
      <c r="L11" s="10">
        <f>IFERROR(HLOOKUP(K11,'CACh prévi'!C$23:G$24,2,FALSE),0)</f>
        <v>0</v>
      </c>
      <c r="M11" s="10">
        <f>IFERROR(VLOOKUP(K11,Paramètres!A$15:C$36,3,FALSE),0)</f>
        <v>0</v>
      </c>
      <c r="N11" s="573">
        <f>'CACh prévi'!C25</f>
        <v>0</v>
      </c>
      <c r="O11" s="243">
        <f>IFERROR(L11/M11,0)</f>
        <v>0</v>
      </c>
      <c r="P11" s="10">
        <f>IFERROR(DATEDIF('CACh prévi'!$B$10,N11,"m"),0)</f>
        <v>0</v>
      </c>
      <c r="Q11" s="10">
        <f>M11+P11</f>
        <v>0</v>
      </c>
      <c r="R11" s="10" t="str">
        <f>IF(P11&lt;5,BO!F$9,IF('BO Fin'!P11&lt;13,BO!F$10,IF(P11&lt;25,BO!F$11,IF(P11&lt;37,BO!F$12,IF(P11&lt;49,BO!F$13,IF(P11&lt;61,BO!F$14,IF(P11&lt;73,BO!F$15,BO!F$16)))))))</f>
        <v>Début du projet en Année 1</v>
      </c>
      <c r="S11" s="10">
        <f>L11</f>
        <v>0</v>
      </c>
      <c r="T11" s="10">
        <f>K11</f>
        <v>0</v>
      </c>
    </row>
    <row r="12" spans="1:20">
      <c r="A12" s="238" t="s">
        <v>362</v>
      </c>
      <c r="B12" s="241">
        <f>'CACh prévi'!J27</f>
        <v>0</v>
      </c>
      <c r="C12" s="241">
        <f>'CACh prévi'!K27</f>
        <v>0</v>
      </c>
      <c r="D12" s="241">
        <f>'CACh prévi'!L27</f>
        <v>0</v>
      </c>
      <c r="E12" s="241">
        <f>'CACh prévi'!M27</f>
        <v>0</v>
      </c>
      <c r="F12" s="241">
        <f>'CACh prévi'!N27</f>
        <v>0</v>
      </c>
      <c r="G12" s="241">
        <f>'CACh prévi'!O27</f>
        <v>0</v>
      </c>
      <c r="H12" s="241">
        <f>'CACh prévi'!P27</f>
        <v>0</v>
      </c>
      <c r="I12" s="10">
        <f t="shared" ref="I12:I13" si="1">SUM(B12:H12)</f>
        <v>0</v>
      </c>
      <c r="K12" s="10">
        <f>'CACh prévi'!D23</f>
        <v>0</v>
      </c>
      <c r="L12" s="10">
        <f>IFERROR(HLOOKUP(K12,'CACh prévi'!C$23:G$24,2,FALSE),0)</f>
        <v>0</v>
      </c>
      <c r="M12" s="10">
        <f>IFERROR(VLOOKUP(K12,Paramètres!A$15:C$36,3,FALSE),0)</f>
        <v>0</v>
      </c>
      <c r="N12" s="573">
        <f>'CACh prévi'!D25</f>
        <v>0</v>
      </c>
      <c r="O12" s="243">
        <f t="shared" ref="O12:O15" si="2">IFERROR(L12/M12,0)</f>
        <v>0</v>
      </c>
      <c r="P12" s="10">
        <f>IFERROR(DATEDIF('CACh prévi'!$B$10,N12,"m"),0)</f>
        <v>0</v>
      </c>
      <c r="Q12" s="10">
        <f t="shared" ref="Q12:Q15" si="3">M12+P12</f>
        <v>0</v>
      </c>
      <c r="R12" s="10" t="str">
        <f>IF(P12&lt;5,BO!F$9,IF('BO Fin'!P12&lt;13,BO!F$10,IF(P12&lt;25,BO!F$11,IF(P12&lt;37,BO!F$12,IF(P12&lt;49,BO!F$13,IF(P12&lt;61,BO!F$14,IF(P12&lt;73,BO!F$15,BO!F$16)))))))</f>
        <v>Début du projet en Année 1</v>
      </c>
      <c r="S12" s="10">
        <f t="shared" ref="S12:S15" si="4">L12</f>
        <v>0</v>
      </c>
      <c r="T12" s="10">
        <f t="shared" ref="T12:T15" si="5">K12</f>
        <v>0</v>
      </c>
    </row>
    <row r="13" spans="1:20">
      <c r="A13" s="238" t="s">
        <v>363</v>
      </c>
      <c r="B13" s="241">
        <f>'CACh prévi'!U13</f>
        <v>0</v>
      </c>
      <c r="C13" s="241">
        <f>IF(C12=0,0,IF('CACh prévi'!V13+'CACh prévi'!V18+'CACh prévi'!V42+'CACh prévi'!V45=0,B13*(1+BO!#REF!),'CACh prévi'!V13))</f>
        <v>0</v>
      </c>
      <c r="D13" s="241">
        <f>IF(D12=0,0,IF('CACh prévi'!W13+'CACh prévi'!W18+'CACh prévi'!W42+'CACh prévi'!W45=0,C13*(1+BO!#REF!),'CACh prévi'!W13))</f>
        <v>0</v>
      </c>
      <c r="E13" s="241">
        <f>IF(E12=0,0,IF('CACh prévi'!X13+'CACh prévi'!X18+'CACh prévi'!X42+'CACh prévi'!X45=0,D13*(1+BO!#REF!),'CACh prévi'!X13))</f>
        <v>0</v>
      </c>
      <c r="F13" s="241">
        <f>IF(F12=0,0,IF('CACh prévi'!Y13+'CACh prévi'!Y18+'CACh prévi'!Y42+'CACh prévi'!Y45=0,E13*(1+BO!#REF!),'CACh prévi'!Y13))</f>
        <v>0</v>
      </c>
      <c r="G13" s="241">
        <f>IF(G12=0,0,IF('CACh prévi'!Z13+'CACh prévi'!Z18+'CACh prévi'!Z42+'CACh prévi'!Z45=0,F13*(1+BO!#REF!),'CACh prévi'!Z13))</f>
        <v>0</v>
      </c>
      <c r="H13" s="241">
        <f>IF(H12=0,0,IF('CACh prévi'!AA13+'CACh prévi'!AA18+'CACh prévi'!AA42+'CACh prévi'!AA45=0,G13*(1+BO!#REF!),'CACh prévi'!AA13))</f>
        <v>0</v>
      </c>
      <c r="I13" s="243">
        <f t="shared" si="1"/>
        <v>0</v>
      </c>
      <c r="K13" s="10">
        <f>'CACh prévi'!E23</f>
        <v>0</v>
      </c>
      <c r="L13" s="10">
        <f>IFERROR(HLOOKUP(K13,'CACh prévi'!C$23:G$24,2,FALSE),0)</f>
        <v>0</v>
      </c>
      <c r="M13" s="10">
        <f>IFERROR(VLOOKUP(K13,Paramètres!A$15:C$36,3,FALSE),0)</f>
        <v>0</v>
      </c>
      <c r="N13" s="573">
        <f>'CACh prévi'!E25</f>
        <v>0</v>
      </c>
      <c r="O13" s="243">
        <f t="shared" si="2"/>
        <v>0</v>
      </c>
      <c r="P13" s="10">
        <f>IFERROR(DATEDIF('CACh prévi'!$B$10,N13,"m"),0)</f>
        <v>0</v>
      </c>
      <c r="Q13" s="10">
        <f t="shared" si="3"/>
        <v>0</v>
      </c>
      <c r="R13" s="10" t="str">
        <f>IF(P13&lt;5,BO!F$9,IF('BO Fin'!P13&lt;13,BO!F$10,IF(P13&lt;25,BO!F$11,IF(P13&lt;37,BO!F$12,IF(P13&lt;49,BO!F$13,IF(P13&lt;61,BO!F$14,IF(P13&lt;73,BO!F$15,BO!F$16)))))))</f>
        <v>Début du projet en Année 1</v>
      </c>
      <c r="S13" s="10">
        <f t="shared" si="4"/>
        <v>0</v>
      </c>
      <c r="T13" s="10">
        <f t="shared" si="5"/>
        <v>0</v>
      </c>
    </row>
    <row r="14" spans="1:20">
      <c r="A14" s="238" t="s">
        <v>364</v>
      </c>
      <c r="B14" s="241">
        <f>B12-B13</f>
        <v>0</v>
      </c>
      <c r="C14" s="241">
        <f>IF(C12=0,0,C12-C13)</f>
        <v>0</v>
      </c>
      <c r="D14" s="241">
        <f>IF(C12=0,0,D12-D13)</f>
        <v>0</v>
      </c>
      <c r="E14" s="241">
        <f>IF(C12=0,0,E12-E13)</f>
        <v>0</v>
      </c>
      <c r="F14" s="241">
        <f>IF(C12=0,0,F12-F13)</f>
        <v>0</v>
      </c>
      <c r="G14" s="241">
        <f>IF(C12=0,0,G12-G13)</f>
        <v>0</v>
      </c>
      <c r="H14" s="242">
        <f>IF(C12=0,0,H12-H13)</f>
        <v>0</v>
      </c>
      <c r="I14" s="243">
        <f>IF(D12=0,0,I12-I13)</f>
        <v>0</v>
      </c>
      <c r="K14" s="10">
        <f>'CACh prévi'!F23</f>
        <v>0</v>
      </c>
      <c r="L14" s="10">
        <f>IFERROR(HLOOKUP(K14,'CACh prévi'!C$23:G$24,2,FALSE),0)</f>
        <v>0</v>
      </c>
      <c r="M14" s="10">
        <f>IFERROR(VLOOKUP(K14,Paramètres!A$15:C$36,3,FALSE),0)</f>
        <v>0</v>
      </c>
      <c r="N14" s="573">
        <f>'CACh prévi'!F25</f>
        <v>0</v>
      </c>
      <c r="O14" s="243">
        <f t="shared" si="2"/>
        <v>0</v>
      </c>
      <c r="P14" s="10">
        <f>IFERROR(DATEDIF('CACh prévi'!$B$10,N14,"m"),0)</f>
        <v>0</v>
      </c>
      <c r="Q14" s="10">
        <f t="shared" si="3"/>
        <v>0</v>
      </c>
      <c r="R14" s="10" t="str">
        <f>IF(P14&lt;5,BO!F$9,IF('BO Fin'!P14&lt;13,BO!F$10,IF(P14&lt;25,BO!F$11,IF(P14&lt;37,BO!F$12,IF(P14&lt;49,BO!F$13,IF(P14&lt;61,BO!F$14,IF(P14&lt;73,BO!F$15,BO!F$16)))))))</f>
        <v>Début du projet en Année 1</v>
      </c>
      <c r="S14" s="10">
        <f t="shared" si="4"/>
        <v>0</v>
      </c>
      <c r="T14" s="10">
        <f t="shared" si="5"/>
        <v>0</v>
      </c>
    </row>
    <row r="15" spans="1:20">
      <c r="A15" s="238" t="s">
        <v>365</v>
      </c>
      <c r="B15" s="241">
        <f>'CACh prévi'!U18+'CACh prévi'!U42+'CACh prévi'!U45</f>
        <v>0</v>
      </c>
      <c r="C15" s="241">
        <f>IF(C12=0,0,IF('CACh prévi'!V13+'CACh prévi'!V18+'CACh prévi'!V42+'CACh prévi'!V45=0,'BO Fin'!B15*(1+BO!#REF!),'CACh prévi'!V18+'CACh prévi'!V42+'CACh prévi'!V45))</f>
        <v>0</v>
      </c>
      <c r="D15" s="241">
        <f>IF(D12=0,0,IF('CACh prévi'!W13+'CACh prévi'!W18+'CACh prévi'!W42+'CACh prévi'!W45=0,'BO Fin'!C15*(1+BO!#REF!),'CACh prévi'!W18+'CACh prévi'!W42+'CACh prévi'!W45))</f>
        <v>0</v>
      </c>
      <c r="E15" s="241">
        <f>IF(E12=0,0,IF('CACh prévi'!X13+'CACh prévi'!X18+'CACh prévi'!X42+'CACh prévi'!X45=0,'BO Fin'!D15*(1+BO!#REF!),'CACh prévi'!X18+'CACh prévi'!X42+'CACh prévi'!X45))</f>
        <v>0</v>
      </c>
      <c r="F15" s="241">
        <f>IF(F12=0,0,IF('CACh prévi'!Y13+'CACh prévi'!Y18+'CACh prévi'!Y42+'CACh prévi'!Y45=0,'BO Fin'!E15*(1+BO!#REF!),'CACh prévi'!Y18+'CACh prévi'!Y42+'CACh prévi'!Y45))</f>
        <v>0</v>
      </c>
      <c r="G15" s="241">
        <f>IF(G12=0,0,IF('CACh prévi'!Z13+'CACh prévi'!Z18+'CACh prévi'!Z42+'CACh prévi'!Z45=0,'BO Fin'!F15*(1+BO!#REF!),'CACh prévi'!Z18+'CACh prévi'!Z42+'CACh prévi'!Z45))</f>
        <v>0</v>
      </c>
      <c r="H15" s="241">
        <f>IF(H12=0,0,IF('CACh prévi'!AA13+'CACh prévi'!AA18+'CACh prévi'!AA42+'CACh prévi'!AA45=0,'BO Fin'!G15*(1+BO!#REF!),'CACh prévi'!AA18+'CACh prévi'!AA42+'CACh prévi'!AA45))</f>
        <v>0</v>
      </c>
      <c r="I15" s="243">
        <f>SUM(B15:H15)</f>
        <v>0</v>
      </c>
      <c r="K15" s="10">
        <f>'CACh prévi'!G23</f>
        <v>0</v>
      </c>
      <c r="L15" s="10">
        <f>IFERROR(HLOOKUP(K15,'CACh prévi'!C$23:G$24,2,FALSE),0)</f>
        <v>0</v>
      </c>
      <c r="M15" s="10">
        <f>IFERROR(VLOOKUP(K15,Paramètres!A$15:C$36,3,FALSE),0)</f>
        <v>0</v>
      </c>
      <c r="N15" s="573">
        <f>'CACh prévi'!G25</f>
        <v>0</v>
      </c>
      <c r="O15" s="243">
        <f t="shared" si="2"/>
        <v>0</v>
      </c>
      <c r="P15" s="10">
        <f>IFERROR(DATEDIF('CACh prévi'!$B$10,N15,"m"),0)</f>
        <v>0</v>
      </c>
      <c r="Q15" s="10">
        <f t="shared" si="3"/>
        <v>0</v>
      </c>
      <c r="R15" s="10" t="str">
        <f>IF(P15&lt;5,BO!F$9,IF('BO Fin'!P15&lt;13,BO!F$10,IF(P15&lt;25,BO!F$11,IF(P15&lt;37,BO!F$12,IF(P15&lt;49,BO!F$13,IF(P15&lt;61,BO!F$14,IF(P15&lt;73,BO!F$15,BO!F$16)))))))</f>
        <v>Début du projet en Année 1</v>
      </c>
      <c r="S15" s="10">
        <f t="shared" si="4"/>
        <v>0</v>
      </c>
      <c r="T15" s="10">
        <f t="shared" si="5"/>
        <v>0</v>
      </c>
    </row>
    <row r="16" spans="1:20">
      <c r="A16" s="245" t="s">
        <v>366</v>
      </c>
      <c r="B16" s="246">
        <f>IF(AND(P11&lt;=12,Q11&gt;=12),(12-P11)*O11,IF(AND(P11&lt;=12,Q11&lt;=12),(Q11-P11)*O11,0))+IF(AND(P12&lt;=12,Q12&gt;=12),(12-P12)*O12,IF(AND(P12&lt;=12,Q12&lt;=12),(Q12-P12)*O12,0))+IF(AND(P13&lt;=12,Q13&gt;=12),(12-P13)*O11,IF(AND(P13&lt;=12,Q11&lt;=12),(Q13-P13)*O11,0))+IF(AND(P14&lt;=12,Q14&gt;=12),(12-P14)*O14,IF(AND(P14&lt;=12,Q14&lt;=12),(Q14-P14)*O14,0))+IF(AND(P15&lt;=12,Q15&gt;=12),(12-P15)*O11,IF(AND(P15&lt;=12,Q15&lt;=12),(Q15-P15)*O15,0))</f>
        <v>0</v>
      </c>
      <c r="C16" s="246">
        <f>IF(AND(P11&lt;=24,Q11&gt;=24),(24-P11)*O11,IF(AND(P11&lt;=24,Q11&lt;=24),(Q11-P11)*O11,0))+IF(AND(P12&lt;=24,Q12&gt;=24),(24-P12)*O12,IF(AND(P12&lt;=24,Q12&lt;=24),(Q12-P12)*O12,0))+IF(AND(P13&lt;=24,Q13&gt;=24),(24-P13)*O11,IF(AND(P13&lt;=24,Q11&lt;=24),(Q13-P13)*O11,0))+IF(AND(P14&lt;=24,Q14&gt;=24),(24-P14)*O14,IF(AND(P14&lt;=24,Q14&lt;=24),(Q14-P14)*O14,0))+IF(AND(P15&lt;=24,Q15&gt;=24),(24-P15)*O11,IF(AND(P15&lt;=24,Q15&lt;=24),(Q15-P15)*O15,0))-B16</f>
        <v>0</v>
      </c>
      <c r="D16" s="241">
        <f>IF(AND(P11&lt;=36,Q11&gt;=36),(36-P11)*O11,IF(AND(P11&lt;=36,Q11&lt;=36),(Q11-P11)*O11,0))+IF(AND(P12&lt;=36,Q12&gt;=36),(36-P12)*O12,IF(AND(P12&lt;=36,Q12&lt;=36),(Q12-P12)*O12,0))+IF(AND(P13&lt;=36,Q13&gt;=36),(36-P13)*O11,IF(AND(P13&lt;=36,Q11&lt;=36),(Q13-P13)*O11,0))+IF(AND(P14&lt;=36,Q14&gt;=36),(36-P14)*O14,IF(AND(P14&lt;=36,Q14&lt;=36),(Q14-P14)*O14,0))+IF(AND(P15&lt;=36,Q15&gt;=36),(36-P15)*O11,IF(AND(P15&lt;=36,Q15&lt;=36),(Q15-P15)*O15,0))-C16-B16</f>
        <v>0</v>
      </c>
      <c r="E16" s="241">
        <f>IF(AND(P11&lt;=48,Q11&gt;=48),(48-P11)*O11,IF(AND(P11&lt;=48,Q11&lt;=48),(Q11-P11)*O11,0))+IF(AND(P12&lt;=48,Q12&gt;=48),(48-P12)*O12,IF(AND(P12&lt;=48,Q12&lt;=48),(Q12-P12)*O12,0))+IF(AND(P13&lt;=48,Q13&gt;=48),(48-P13)*O11,IF(AND(P13&lt;=48,Q11&lt;=48),(Q13-P13)*O11,0))+IF(AND(P14&lt;=48,Q14&gt;=48),(48-P14)*O14,IF(AND(P14&lt;=48,Q14&lt;=48),(Q14-P14)*O14,0))+IF(AND(P15&lt;=48,Q15&gt;=48),(48-P15)*O11,IF(AND(P15&lt;=48,Q15&lt;=48),(Q15-P15)*O15,0))-C16-B16-D16</f>
        <v>0</v>
      </c>
      <c r="F16" s="241">
        <f>IF(AND(P11&lt;=60,Q11&gt;=60),(60-P11)*O11,IF(AND(P11&lt;=60,Q11&lt;=60),(Q11-P11)*O11,0))+IF(AND(P12&lt;=60,Q12&gt;=60),(60-P12)*O12,IF(AND(P12&lt;=60,Q12&lt;=60),(Q12-P12)*O12,0))+IF(AND(P13&lt;=60,Q13&gt;=60),(60-P13)*O11,IF(AND(P13&lt;=60,Q11&lt;=60),(Q13-P13)*O11,0))+IF(AND(P14&lt;=60,Q14&gt;=60),(60-P14)*O14,IF(AND(P14&lt;=60,Q14&lt;=60),(Q14-P14)*O14,0))+IF(AND(P15&lt;=60,Q15&gt;=60),(60-P15)*O11,IF(AND(P15&lt;=60,Q15&lt;=60),(Q15-P15)*O15,0))-C16-B16-D16-E16</f>
        <v>0</v>
      </c>
      <c r="G16" s="241">
        <f>IF(AND(P11&lt;=72,Q11&gt;=72),(72-P11)*O11,IF(AND(P11&lt;=72,Q11&lt;=72),(Q11-P11)*O11,0))+IF(AND(P12&lt;=72,Q12&gt;=72),(72-P12)*O12,IF(AND(P12&lt;=72,Q12&lt;=72),(Q12-P12)*O12,0))+IF(AND(P13&lt;=72,Q13&gt;=72),(72-P13)*O11,IF(AND(P13&lt;=72,Q11&lt;=72),(Q13-P13)*O11,0))+IF(AND(P14&lt;=72,Q14&gt;=72),(72-P14)*O14,IF(AND(P14&lt;=72,Q14&lt;=72),(Q14-P14)*O14,0))+IF(AND(P15&lt;=72,Q15&gt;=72),(72-P15)*O11,IF(AND(P15&lt;=72,Q15&lt;=72),(Q15-P15)*O15,0))-C16-B16-D16-E16-F16</f>
        <v>0</v>
      </c>
      <c r="H16" s="241">
        <f>IF(AND(P11&lt;=84,Q11&gt;=84),(84-P11)*O11,IF(AND(P11&lt;=84,Q11&lt;=84),(Q11-P11)*O11,0))+IF(AND(P12&lt;=84,Q12&gt;=84),(84-P12)*O12,IF(AND(P12&lt;=84,Q12&lt;=84),(Q12-P12)*O12,0))+IF(AND(P13&lt;=84,Q13&gt;=84),(84-P13)*O11,IF(AND(P13&lt;=84,Q11&lt;=84),(Q13-P13)*O11,0))+IF(AND(P14&lt;=84,Q14&gt;=84),(84-P14)*O14,IF(AND(P14&lt;=84,Q14&lt;=84),(Q14-P14)*O14,0))+IF(AND(P15&lt;=84,Q15&gt;=84),(84-P15)*O11,IF(AND(P15&lt;=84,Q15&lt;=84),(Q15-P15)*O15,0))-C16-B16-D16-E16-F16-G16</f>
        <v>0</v>
      </c>
      <c r="I16" s="243">
        <f>SUM(B16:H16)</f>
        <v>0</v>
      </c>
    </row>
    <row r="17" spans="1:24">
      <c r="A17" s="10" t="s">
        <v>367</v>
      </c>
      <c r="B17" s="243">
        <f>IF(B12=0,0,B14-B15-B16)</f>
        <v>0</v>
      </c>
      <c r="C17" s="243">
        <f t="shared" ref="C17:H17" si="6">IF(C12=0,0,C14-C15-C16)</f>
        <v>0</v>
      </c>
      <c r="D17" s="243">
        <f t="shared" si="6"/>
        <v>0</v>
      </c>
      <c r="E17" s="243">
        <f t="shared" si="6"/>
        <v>0</v>
      </c>
      <c r="F17" s="243">
        <f t="shared" si="6"/>
        <v>0</v>
      </c>
      <c r="G17" s="243">
        <f t="shared" si="6"/>
        <v>0</v>
      </c>
      <c r="H17" s="243">
        <f t="shared" si="6"/>
        <v>0</v>
      </c>
      <c r="I17" s="243">
        <f>SUM(B17:H17)</f>
        <v>0</v>
      </c>
    </row>
    <row r="18" spans="1:24" ht="15" customHeight="1">
      <c r="A18" s="380" t="s">
        <v>368</v>
      </c>
      <c r="B18" s="380"/>
      <c r="C18" s="259"/>
      <c r="D18" s="244"/>
      <c r="E18" s="576"/>
      <c r="F18" s="577"/>
      <c r="G18" s="577"/>
      <c r="H18" s="244"/>
    </row>
    <row r="19" spans="1:24">
      <c r="E19" s="377" t="s">
        <v>369</v>
      </c>
      <c r="F19" s="379"/>
      <c r="G19" s="379">
        <f>COUNTIF(B17:H17,"&gt;0")</f>
        <v>0</v>
      </c>
    </row>
    <row r="20" spans="1:24">
      <c r="A20" s="19"/>
      <c r="B20" s="19"/>
      <c r="C20" s="19"/>
      <c r="D20" s="19"/>
      <c r="E20" s="19"/>
      <c r="F20" s="19"/>
      <c r="G20" s="19"/>
      <c r="H20" s="19"/>
      <c r="I20" s="19"/>
      <c r="J20" s="19"/>
      <c r="K20" s="19"/>
      <c r="L20" s="19"/>
      <c r="M20" s="19"/>
      <c r="N20" s="19"/>
      <c r="O20" s="19"/>
      <c r="P20" s="19"/>
      <c r="Q20" s="19"/>
      <c r="R20" s="19"/>
      <c r="S20" s="19"/>
      <c r="T20" s="19"/>
      <c r="U20" s="19"/>
      <c r="V20" s="19"/>
      <c r="W20" s="19"/>
      <c r="X20" s="19"/>
    </row>
    <row r="21" spans="1:24">
      <c r="A21" s="13" t="s">
        <v>404</v>
      </c>
      <c r="B21" s="13"/>
      <c r="C21" s="19"/>
      <c r="D21" s="19"/>
      <c r="E21" s="19"/>
      <c r="F21" s="19"/>
      <c r="G21" s="19"/>
      <c r="H21" s="19"/>
      <c r="I21" s="19"/>
      <c r="J21" s="19"/>
      <c r="K21" s="19"/>
      <c r="L21" s="19"/>
      <c r="M21" s="19"/>
      <c r="N21" s="19"/>
      <c r="O21" s="19"/>
      <c r="P21" s="19"/>
      <c r="Q21" s="19"/>
      <c r="R21" s="19"/>
      <c r="S21" s="19"/>
      <c r="T21" s="19"/>
      <c r="U21" s="19"/>
      <c r="V21" s="19"/>
      <c r="W21" s="19"/>
    </row>
    <row r="22" spans="1:24">
      <c r="A22" s="19"/>
      <c r="B22" s="19"/>
      <c r="C22" s="815" t="s">
        <v>370</v>
      </c>
      <c r="D22" s="815"/>
      <c r="E22" s="815"/>
      <c r="F22" s="815"/>
      <c r="G22" s="815"/>
      <c r="H22" s="815"/>
      <c r="I22" s="815"/>
      <c r="J22" s="850" t="s">
        <v>212</v>
      </c>
      <c r="K22" s="850"/>
      <c r="L22" s="850" t="s">
        <v>280</v>
      </c>
      <c r="M22" s="850"/>
      <c r="N22" s="850" t="s">
        <v>281</v>
      </c>
      <c r="O22" s="850"/>
      <c r="P22" s="850" t="s">
        <v>282</v>
      </c>
      <c r="Q22" s="850"/>
      <c r="R22" s="850" t="s">
        <v>283</v>
      </c>
      <c r="S22" s="850"/>
      <c r="T22" s="850" t="s">
        <v>284</v>
      </c>
      <c r="U22" s="850"/>
      <c r="V22" s="850" t="s">
        <v>285</v>
      </c>
      <c r="W22" s="850"/>
    </row>
    <row r="23" spans="1:24">
      <c r="A23" s="19"/>
      <c r="B23" s="116" t="s">
        <v>371</v>
      </c>
      <c r="C23" s="114" t="s">
        <v>212</v>
      </c>
      <c r="D23" s="114" t="s">
        <v>280</v>
      </c>
      <c r="E23" s="114" t="s">
        <v>281</v>
      </c>
      <c r="F23" s="114" t="s">
        <v>282</v>
      </c>
      <c r="G23" s="114" t="s">
        <v>283</v>
      </c>
      <c r="H23" s="114" t="s">
        <v>284</v>
      </c>
      <c r="I23" s="114" t="s">
        <v>285</v>
      </c>
      <c r="J23" s="115" t="s">
        <v>372</v>
      </c>
      <c r="K23" s="115" t="s">
        <v>373</v>
      </c>
      <c r="L23" s="115" t="s">
        <v>372</v>
      </c>
      <c r="M23" s="115" t="s">
        <v>373</v>
      </c>
      <c r="N23" s="115" t="s">
        <v>372</v>
      </c>
      <c r="O23" s="115" t="s">
        <v>373</v>
      </c>
      <c r="P23" s="115" t="s">
        <v>372</v>
      </c>
      <c r="Q23" s="115" t="s">
        <v>373</v>
      </c>
      <c r="R23" s="115" t="s">
        <v>372</v>
      </c>
      <c r="S23" s="115" t="s">
        <v>373</v>
      </c>
      <c r="T23" s="115" t="s">
        <v>372</v>
      </c>
      <c r="U23" s="115" t="s">
        <v>373</v>
      </c>
      <c r="V23" s="115" t="s">
        <v>372</v>
      </c>
      <c r="W23" s="115" t="s">
        <v>373</v>
      </c>
    </row>
    <row r="24" spans="1:24">
      <c r="A24" s="20" t="s">
        <v>374</v>
      </c>
      <c r="B24" s="24">
        <f>IFERROR(IF('CACh prévi'!J31="oui",'CACh prévi'!J34,'BO AF'!B293),0)</f>
        <v>0</v>
      </c>
      <c r="C24" s="249">
        <f>IFERROR('CACh prévi'!U13/'BO Fin'!B12,0)</f>
        <v>0</v>
      </c>
      <c r="D24" s="249">
        <f>IF('CACh prévi'!V13+'CACh prévi'!V18+'CACh prévi'!V42+'CACh prévi'!V45=0,'BO Fin'!C24*(1+Paramètres!B6),'CACh prévi'!V13/'CACh prévi'!K27)</f>
        <v>0</v>
      </c>
      <c r="E24" s="249">
        <f>IF('CACh prévi'!W13+'CACh prévi'!W18+'CACh prévi'!W42+'CACh prévi'!W45=0,'BO Fin'!D24*(1+Paramètres!B6),'CACh prévi'!W13/'CACh prévi'!L27)</f>
        <v>0</v>
      </c>
      <c r="F24" s="249">
        <f>IF('CACh prévi'!X13+'CACh prévi'!X18+'CACh prévi'!X42+'CACh prévi'!X45=0,'BO Fin'!E24*(1+Paramètres!B6),'CACh prévi'!X13/'CACh prévi'!M27)</f>
        <v>0</v>
      </c>
      <c r="G24" s="249">
        <f>IF('CACh prévi'!Y13+'CACh prévi'!Y18+'CACh prévi'!Y42+'CACh prévi'!Y45=0,'BO Fin'!F24*(1+Paramètres!B6),'CACh prévi'!Y13/'CACh prévi'!N27)</f>
        <v>0</v>
      </c>
      <c r="H24" s="249">
        <f>IFERROR(IF('CACh prévi'!Z13+'CACh prévi'!Z18+'CACh prévi'!Z42+'CACh prévi'!Z45=0,'BO Fin'!G24*(1+Paramètres!B6),'CACh prévi'!Z13/'CACh prévi'!O27),0)</f>
        <v>0</v>
      </c>
      <c r="I24" s="249">
        <f>IFERROR(IF('CACh prévi'!AA13+'CACh prévi'!AA18+'CACh prévi'!AA42+'CACh prévi'!AA45=0,'BO Fin'!H24*(1+Paramètres!B6),'CACh prévi'!AA13/'CACh prévi'!P27),0)</f>
        <v>0</v>
      </c>
      <c r="J24" s="250">
        <f>$B24*C24</f>
        <v>0</v>
      </c>
      <c r="K24" s="250"/>
      <c r="L24" s="250">
        <f>B24*D24</f>
        <v>0</v>
      </c>
      <c r="M24" s="250"/>
      <c r="N24" s="250">
        <f>B24*E24</f>
        <v>0</v>
      </c>
      <c r="O24" s="250"/>
      <c r="P24" s="250">
        <f>B24*F24</f>
        <v>0</v>
      </c>
      <c r="Q24" s="250"/>
      <c r="R24" s="250">
        <f>B24*G24</f>
        <v>0</v>
      </c>
      <c r="S24" s="24"/>
      <c r="T24" s="24">
        <f>B24*H24</f>
        <v>0</v>
      </c>
      <c r="U24" s="24"/>
      <c r="V24" s="24">
        <f>B24*I24</f>
        <v>0</v>
      </c>
      <c r="W24" s="24"/>
    </row>
    <row r="25" spans="1:24">
      <c r="A25" s="251" t="s">
        <v>375</v>
      </c>
      <c r="B25" s="24">
        <f>IF('CACh prévi'!J38="non",'CACh prévi'!J41,'BO AF'!B297)</f>
        <v>0</v>
      </c>
      <c r="C25" s="249">
        <f>1+Présentation!$B37</f>
        <v>1</v>
      </c>
      <c r="D25" s="249">
        <f>C25</f>
        <v>1</v>
      </c>
      <c r="E25" s="249">
        <f t="shared" ref="E25:I25" si="7">D25</f>
        <v>1</v>
      </c>
      <c r="F25" s="249">
        <f t="shared" si="7"/>
        <v>1</v>
      </c>
      <c r="G25" s="249">
        <f t="shared" si="7"/>
        <v>1</v>
      </c>
      <c r="H25" s="249">
        <f t="shared" si="7"/>
        <v>1</v>
      </c>
      <c r="I25" s="249">
        <f t="shared" si="7"/>
        <v>1</v>
      </c>
      <c r="J25" s="250">
        <f>$B25*C25</f>
        <v>0</v>
      </c>
      <c r="K25" s="250"/>
      <c r="L25" s="250">
        <f t="shared" ref="L25:L29" si="8">B25*D25</f>
        <v>0</v>
      </c>
      <c r="M25" s="250"/>
      <c r="N25" s="250">
        <f t="shared" ref="N25:N29" si="9">B25*E25</f>
        <v>0</v>
      </c>
      <c r="O25" s="250"/>
      <c r="P25" s="250">
        <f>B25*F25</f>
        <v>0</v>
      </c>
      <c r="Q25" s="250"/>
      <c r="R25" s="250">
        <f>B25*G25</f>
        <v>0</v>
      </c>
      <c r="S25" s="24"/>
      <c r="T25" s="24">
        <f>B25*H25</f>
        <v>0</v>
      </c>
      <c r="U25" s="24"/>
      <c r="V25" s="24">
        <f>B25*I25</f>
        <v>0</v>
      </c>
      <c r="W25" s="24"/>
    </row>
    <row r="26" spans="1:24">
      <c r="A26" s="20" t="s">
        <v>376</v>
      </c>
      <c r="B26" s="24">
        <f>IF('CACh prévi'!J45="non",'CACh prévi'!J48,'BO AF'!B298)</f>
        <v>0</v>
      </c>
      <c r="C26" s="249">
        <f>IFERROR(((('CACh prévi'!U14*(1+Présentation!B37)+SUM('CACh prévi'!U15+'CACh prévi'!U16+'CACh prévi'!U17+'CACh prévi'!U18)*1.2)+'CACh prévi'!U42)/'CACh prévi'!J27),0)</f>
        <v>0</v>
      </c>
      <c r="D26" s="249">
        <f>IF('CACh prévi'!V13+'CACh prévi'!V18+'CACh prévi'!V42+'CACh prévi'!V45=0,'BO Fin'!C26*(1+Paramètres!B6),(('CACh prévi'!V14*(1+Présentation!$B$37))+SUM('CACh prévi'!V15+'CACh prévi'!V16+'CACh prévi'!V17+'CACh prévi'!V18)*1.2+'CACh prévi'!V42)/'CACh prévi'!K27)</f>
        <v>0</v>
      </c>
      <c r="E26" s="249">
        <f>IF('CACh prévi'!W13+'CACh prévi'!W18+'CACh prévi'!W42+'CACh prévi'!W45=0,'BO Fin'!D26*(1+Paramètres!B6),(('CACh prévi'!W14*(1+Présentation!$B$37))+SUM('CACh prévi'!W15+'CACh prévi'!W16+'CACh prévi'!W17+'CACh prévi'!W18)*1.2+'CACh prévi'!W42)/'CACh prévi'!L27)</f>
        <v>0</v>
      </c>
      <c r="F26" s="249">
        <f>IF('CACh prévi'!X13+'CACh prévi'!X18+'CACh prévi'!X42+'CACh prévi'!X45=0,'BO Fin'!E26*(1+Paramètres!B6),(('CACh prévi'!X14*(1+Présentation!$B$37))+SUM('CACh prévi'!X15+'CACh prévi'!X16+'CACh prévi'!X17+'CACh prévi'!X18)*1.2+'CACh prévi'!X42)/'CACh prévi'!M27)</f>
        <v>0</v>
      </c>
      <c r="G26" s="249">
        <f>IF('CACh prévi'!Y13+'CACh prévi'!Y18+'CACh prévi'!Y42+'CACh prévi'!Y45=0,'BO Fin'!F26*(1+Paramètres!B6),(('CACh prévi'!Y14*(1+Présentation!$B$37))+SUM('CACh prévi'!Y15+'CACh prévi'!Y16+'CACh prévi'!Y17+'CACh prévi'!Y18)*1.2+'CACh prévi'!Y42)/'CACh prévi'!N27)</f>
        <v>0</v>
      </c>
      <c r="H26" s="249">
        <f>IFERROR(IF('CACh prévi'!Z13+'CACh prévi'!Z18+'CACh prévi'!Z42+'CACh prévi'!Z45=0,'BO Fin'!G26*(1+Paramètres!B6),(('CACh prévi'!Z14*(1+Présentation!$B$37))+SUM('CACh prévi'!Z15+'CACh prévi'!Z16+'CACh prévi'!Z17+'CACh prévi'!Z18)*1.2+'CACh prévi'!Z42)/'CACh prévi'!O27),0)</f>
        <v>0</v>
      </c>
      <c r="I26" s="249">
        <f>IFERROR(IF('CACh prévi'!AA13+'CACh prévi'!AA18+'CACh prévi'!AA42+'CACh prévi'!AA45=0,'BO Fin'!H26*(1+Paramètres!B6),(('CACh prévi'!AA14*(1+Présentation!$B$37))+SUM('CACh prévi'!AA15+'CACh prévi'!AA16+'CACh prévi'!AA17+'CACh prévi'!AA18)*1.2+'CACh prévi'!AA42)/'CACh prévi'!P27),0)</f>
        <v>0</v>
      </c>
      <c r="J26" s="250"/>
      <c r="K26" s="250">
        <f>B26*C26</f>
        <v>0</v>
      </c>
      <c r="L26" s="250"/>
      <c r="M26" s="250">
        <f>B26*D26</f>
        <v>0</v>
      </c>
      <c r="N26" s="250"/>
      <c r="O26" s="250">
        <f>B26*E26</f>
        <v>0</v>
      </c>
      <c r="P26" s="250"/>
      <c r="Q26" s="250">
        <f>B26*F26</f>
        <v>0</v>
      </c>
      <c r="R26" s="250"/>
      <c r="S26" s="24">
        <f>B26*G26</f>
        <v>0</v>
      </c>
      <c r="T26" s="24"/>
      <c r="U26" s="24">
        <f>B26*H26</f>
        <v>0</v>
      </c>
      <c r="V26" s="24"/>
      <c r="W26" s="24">
        <f>B26*I26</f>
        <v>0</v>
      </c>
    </row>
    <row r="27" spans="1:24">
      <c r="A27" s="251" t="s">
        <v>377</v>
      </c>
      <c r="B27" s="24">
        <v>15</v>
      </c>
      <c r="C27" s="249">
        <f>IFERROR(('CACh prévi'!U46+'CACh prévi'!U48)/'CACh prévi'!J27,0)</f>
        <v>0</v>
      </c>
      <c r="D27" s="249">
        <f>IF('CACh prévi'!V13+'CACh prévi'!V18+'CACh prévi'!V42+'CACh prévi'!V45=0,'BO Fin'!C27,('CACh prévi'!U46+'CACh prévi'!U48)/'CACh prévi'!K27)</f>
        <v>0</v>
      </c>
      <c r="E27" s="249">
        <f>IF('CACh prévi'!W13+'CACh prévi'!W18+'CACh prévi'!W42+'CACh prévi'!W45=0,'BO Fin'!D27,('CACh prévi'!V46+'CACh prévi'!V48)/'CACh prévi'!L27)</f>
        <v>0</v>
      </c>
      <c r="F27" s="249">
        <f>IF('CACh prévi'!X13+'CACh prévi'!X18+'CACh prévi'!X42+'CACh prévi'!X45=0,'BO Fin'!E27,('CACh prévi'!W46+'CACh prévi'!W48)/'CACh prévi'!M27)</f>
        <v>0</v>
      </c>
      <c r="G27" s="249">
        <f>IF('CACh prévi'!Y13+'CACh prévi'!Y18+'CACh prévi'!Y42+'CACh prévi'!Y45=0,'BO Fin'!F27,('CACh prévi'!X46+'CACh prévi'!X48)/'CACh prévi'!N27)</f>
        <v>0</v>
      </c>
      <c r="H27" s="249">
        <f>IFERROR(IF('CACh prévi'!Z13+'CACh prévi'!Z18+'CACh prévi'!Z42+'CACh prévi'!Z45=0,'BO Fin'!G27,('CACh prévi'!Y46+'CACh prévi'!Y48)/'CACh prévi'!O27),0)</f>
        <v>0</v>
      </c>
      <c r="I27" s="249">
        <f>IFERROR(IF('CACh prévi'!AA13+'CACh prévi'!AA18+'CACh prévi'!AA42+'CACh prévi'!AA45=0,'BO Fin'!H27,('CACh prévi'!Z46+'CACh prévi'!Z48)/'CACh prévi'!P27),0)</f>
        <v>0</v>
      </c>
      <c r="J27" s="250"/>
      <c r="K27" s="250">
        <f t="shared" ref="K27:K28" si="10">B27*C27</f>
        <v>0</v>
      </c>
      <c r="L27" s="250"/>
      <c r="M27" s="250">
        <f t="shared" ref="M27:M28" si="11">B27*D27</f>
        <v>0</v>
      </c>
      <c r="N27" s="250"/>
      <c r="O27" s="250">
        <f>B27*E27</f>
        <v>0</v>
      </c>
      <c r="P27" s="250"/>
      <c r="Q27" s="250">
        <f>B27*F27</f>
        <v>0</v>
      </c>
      <c r="R27" s="250"/>
      <c r="S27" s="24">
        <f>B27*G27</f>
        <v>0</v>
      </c>
      <c r="T27" s="24"/>
      <c r="U27" s="24">
        <f>B27*H27</f>
        <v>0</v>
      </c>
      <c r="V27" s="24"/>
      <c r="W27" s="24">
        <f>B27*I27</f>
        <v>0</v>
      </c>
    </row>
    <row r="28" spans="1:24">
      <c r="A28" s="20" t="s">
        <v>378</v>
      </c>
      <c r="B28" s="24">
        <v>20</v>
      </c>
      <c r="C28" s="249">
        <f>IFERROR(('CACh prévi'!U47+'CACh prévi'!U49)/'CACh prévi'!J27,0)</f>
        <v>0</v>
      </c>
      <c r="D28" s="249">
        <f>IF('CACh prévi'!V13+'CACh prévi'!V18+'CACh prévi'!V42+'CACh prévi'!V45=0,'BO Fin'!C28,('CACh prévi'!V47+'CACh prévi'!V49)/'CACh prévi'!K27)</f>
        <v>0</v>
      </c>
      <c r="E28" s="249">
        <f>IF('CACh prévi'!W13+'CACh prévi'!W18+'CACh prévi'!W42+'CACh prévi'!W45=0,'BO Fin'!D28,('CACh prévi'!W47+'CACh prévi'!W49)/'CACh prévi'!L27)</f>
        <v>0</v>
      </c>
      <c r="F28" s="249">
        <f>IF('CACh prévi'!X13+'CACh prévi'!X18+'CACh prévi'!X42+'CACh prévi'!X45=0,'BO Fin'!E28,('CACh prévi'!X47+'CACh prévi'!X49)/'CACh prévi'!M27)</f>
        <v>0</v>
      </c>
      <c r="G28" s="249">
        <f>IF('CACh prévi'!Y13+'CACh prévi'!Y18+'CACh prévi'!Y42+'CACh prévi'!Y45=0,'BO Fin'!F28,('CACh prévi'!Y47+'CACh prévi'!Y49)/'CACh prévi'!N27)</f>
        <v>0</v>
      </c>
      <c r="H28" s="249">
        <f>IFERROR(IF('CACh prévi'!Z13+'CACh prévi'!Z18+'CACh prévi'!Z42+'CACh prévi'!Z45=0,'BO Fin'!G28,('CACh prévi'!Z47+'CACh prévi'!Z49)/'CACh prévi'!O27),0)</f>
        <v>0</v>
      </c>
      <c r="I28" s="249">
        <f>IFERROR(IF('CACh prévi'!AA13+'CACh prévi'!AA18+'CACh prévi'!AA42+'CACh prévi'!AA45=0,'BO Fin'!H28,('CACh prévi'!AA47+'CACh prévi'!AA49)/'CACh prévi'!P27),0)</f>
        <v>0</v>
      </c>
      <c r="J28" s="250"/>
      <c r="K28" s="250">
        <f t="shared" si="10"/>
        <v>0</v>
      </c>
      <c r="L28" s="250"/>
      <c r="M28" s="250">
        <f t="shared" si="11"/>
        <v>0</v>
      </c>
      <c r="N28" s="250"/>
      <c r="O28" s="250">
        <f>B28*E28</f>
        <v>0</v>
      </c>
      <c r="P28" s="250"/>
      <c r="Q28" s="250">
        <f>B28*F28</f>
        <v>0</v>
      </c>
      <c r="R28" s="250"/>
      <c r="S28" s="24">
        <f>B28*G28</f>
        <v>0</v>
      </c>
      <c r="T28" s="24"/>
      <c r="U28" s="24">
        <f>B28*H28</f>
        <v>0</v>
      </c>
      <c r="V28" s="24"/>
      <c r="W28" s="24">
        <f>B28*I28</f>
        <v>0</v>
      </c>
    </row>
    <row r="29" spans="1:24">
      <c r="A29" s="251" t="s">
        <v>379</v>
      </c>
      <c r="B29" s="24">
        <f>IF(Présentation!B32="Franchise en base de TVA",0,IF(OR(Présentation!B35="Je ne sais pas",Présentation!B35="Tous les mois"),36,61))</f>
        <v>61</v>
      </c>
      <c r="C29" s="249">
        <f>IFERROR(('CACh prévi'!U14*Présentation!B37+SUM('CACh prévi'!U15+'CACh prévi'!U16+'CACh prévi'!U17+'CACh prévi'!U18)*0.2)/'CACh prévi'!J27,0)</f>
        <v>0</v>
      </c>
      <c r="D29" s="249">
        <f>IF('CACh prévi'!V13+'CACh prévi'!V18+'CACh prévi'!V42+'CACh prévi'!V45=0,'BO Fin'!C29,('CACh prévi'!V14*Présentation!B37+SUM('CACh prévi'!V15+'CACh prévi'!V16+'CACh prévi'!V17+'CACh prévi'!V18*0.2))/'CACh prévi'!K27)</f>
        <v>0</v>
      </c>
      <c r="E29" s="249">
        <f>IF('CACh prévi'!W13+'CACh prévi'!W18+'CACh prévi'!W42+'CACh prévi'!W45=0,'BO Fin'!D29,('CACh prévi'!W14*Présentation!C37+SUM('CACh prévi'!W15+'CACh prévi'!W16+'CACh prévi'!W17+'CACh prévi'!W18*0.2))/'CACh prévi'!L27)</f>
        <v>0</v>
      </c>
      <c r="F29" s="249">
        <f>IF('CACh prévi'!X13+'CACh prévi'!X18+'CACh prévi'!X42+'CACh prévi'!X45=0,'BO Fin'!E29,('CACh prévi'!X14*Présentation!D37+SUM('CACh prévi'!X15+'CACh prévi'!X16+'CACh prévi'!X17+'CACh prévi'!X18*0.2))/'CACh prévi'!M27)</f>
        <v>0</v>
      </c>
      <c r="G29" s="249">
        <f>IF('CACh prévi'!Y13+'CACh prévi'!Y18+'CACh prévi'!Y42+'CACh prévi'!Y45=0,'BO Fin'!F29,('CACh prévi'!Y14*Présentation!E37+SUM('CACh prévi'!Y15+'CACh prévi'!Y16+'CACh prévi'!Y17+'CACh prévi'!Y18*0.2))/'CACh prévi'!N27)</f>
        <v>0</v>
      </c>
      <c r="H29" s="249">
        <f>IFERROR(IF('CACh prévi'!Z13+'CACh prévi'!Z18+'CACh prévi'!Z42+'CACh prévi'!Z45=0,'BO Fin'!G29,('CACh prévi'!Z14*Présentation!F37+SUM('CACh prévi'!Z15+'CACh prévi'!Z16+'CACh prévi'!Z17+'CACh prévi'!Z18*0.2))/'CACh prévi'!O27),0)</f>
        <v>0</v>
      </c>
      <c r="I29" s="249">
        <f>IFERROR(IF('CACh prévi'!AA13+'CACh prévi'!AA18+'CACh prévi'!AA42+'CACh prévi'!AA45=0,'BO Fin'!H29,('CACh prévi'!AA14*Présentation!G37+SUM('CACh prévi'!AA15+'CACh prévi'!AA16+'CACh prévi'!AA17+'CACh prévi'!AA18*0.2))/'CACh prévi'!P27),0)</f>
        <v>0</v>
      </c>
      <c r="J29" s="250">
        <f t="shared" ref="J29" si="12">$B29*C29</f>
        <v>0</v>
      </c>
      <c r="K29" s="250"/>
      <c r="L29" s="250">
        <f t="shared" si="8"/>
        <v>0</v>
      </c>
      <c r="M29" s="250"/>
      <c r="N29" s="250">
        <f t="shared" si="9"/>
        <v>0</v>
      </c>
      <c r="O29" s="250"/>
      <c r="P29" s="250">
        <f>B29*F29</f>
        <v>0</v>
      </c>
      <c r="Q29" s="250"/>
      <c r="R29" s="250">
        <f>B29*G29</f>
        <v>0</v>
      </c>
      <c r="S29" s="24"/>
      <c r="T29" s="24">
        <f>B29*H29</f>
        <v>0</v>
      </c>
      <c r="U29" s="24"/>
      <c r="V29" s="24">
        <f>B29*I29</f>
        <v>0</v>
      </c>
      <c r="W29" s="24"/>
    </row>
    <row r="30" spans="1:24">
      <c r="A30" s="20" t="s">
        <v>380</v>
      </c>
      <c r="B30" s="24">
        <f>IF(Présentation!B32="Franchise en base de TVA",0,IF(OR(Présentation!B35="Je ne sais pas",Présentation!B35="Tous les mois"),31,66))</f>
        <v>66</v>
      </c>
      <c r="C30" s="141">
        <f>Présentation!B37</f>
        <v>0</v>
      </c>
      <c r="D30" s="252">
        <f>C30</f>
        <v>0</v>
      </c>
      <c r="E30" s="252">
        <f t="shared" ref="E30:I30" si="13">D30</f>
        <v>0</v>
      </c>
      <c r="F30" s="252">
        <f t="shared" si="13"/>
        <v>0</v>
      </c>
      <c r="G30" s="252">
        <f t="shared" si="13"/>
        <v>0</v>
      </c>
      <c r="H30" s="252">
        <f t="shared" si="13"/>
        <v>0</v>
      </c>
      <c r="I30" s="252">
        <f t="shared" si="13"/>
        <v>0</v>
      </c>
      <c r="J30" s="250"/>
      <c r="K30" s="250">
        <f t="shared" ref="K30" si="14">B30*C30</f>
        <v>0</v>
      </c>
      <c r="L30" s="250"/>
      <c r="M30" s="250">
        <f t="shared" ref="M30" si="15">B30*D30</f>
        <v>0</v>
      </c>
      <c r="N30" s="250"/>
      <c r="O30" s="250">
        <f>B30*E30</f>
        <v>0</v>
      </c>
      <c r="P30" s="250"/>
      <c r="Q30" s="250">
        <f>B30*F30</f>
        <v>0</v>
      </c>
      <c r="R30" s="250"/>
      <c r="S30" s="24">
        <f>B30*G30</f>
        <v>0</v>
      </c>
      <c r="T30" s="24"/>
      <c r="U30" s="24">
        <f>B30*H30</f>
        <v>0</v>
      </c>
      <c r="V30" s="24"/>
      <c r="W30" s="24">
        <f>B30*I30</f>
        <v>0</v>
      </c>
    </row>
    <row r="31" spans="1:24">
      <c r="A31" s="253" t="s">
        <v>324</v>
      </c>
      <c r="B31" s="19"/>
      <c r="C31" s="19"/>
      <c r="D31" s="254"/>
      <c r="E31" s="254"/>
      <c r="F31" s="19"/>
      <c r="G31" s="254"/>
      <c r="H31" s="254"/>
      <c r="I31" s="29"/>
      <c r="J31" s="255">
        <f>SUM(J24:J30)</f>
        <v>0</v>
      </c>
      <c r="K31" s="255">
        <f t="shared" ref="K31:W31" si="16">SUM(K24:K30)</f>
        <v>0</v>
      </c>
      <c r="L31" s="255">
        <f t="shared" si="16"/>
        <v>0</v>
      </c>
      <c r="M31" s="255">
        <f t="shared" si="16"/>
        <v>0</v>
      </c>
      <c r="N31" s="255">
        <f t="shared" si="16"/>
        <v>0</v>
      </c>
      <c r="O31" s="255">
        <f t="shared" si="16"/>
        <v>0</v>
      </c>
      <c r="P31" s="255">
        <f t="shared" si="16"/>
        <v>0</v>
      </c>
      <c r="Q31" s="255">
        <f t="shared" si="16"/>
        <v>0</v>
      </c>
      <c r="R31" s="255">
        <f t="shared" si="16"/>
        <v>0</v>
      </c>
      <c r="S31" s="255">
        <f t="shared" si="16"/>
        <v>0</v>
      </c>
      <c r="T31" s="255">
        <f t="shared" si="16"/>
        <v>0</v>
      </c>
      <c r="U31" s="255">
        <f t="shared" si="16"/>
        <v>0</v>
      </c>
      <c r="V31" s="255">
        <f t="shared" si="16"/>
        <v>0</v>
      </c>
      <c r="W31" s="255">
        <f t="shared" si="16"/>
        <v>0</v>
      </c>
    </row>
    <row r="32" spans="1:24">
      <c r="A32" s="19"/>
      <c r="B32" s="19"/>
      <c r="C32" s="19"/>
      <c r="D32" s="256"/>
      <c r="E32" s="254"/>
      <c r="F32" s="19"/>
      <c r="G32" s="256"/>
      <c r="H32" s="254"/>
      <c r="I32" s="29"/>
      <c r="J32" s="1159" t="s">
        <v>126</v>
      </c>
      <c r="K32" s="257">
        <f>IF(K31&gt;J31,-(K31-J31),K31-J31)</f>
        <v>0</v>
      </c>
      <c r="L32" s="1158" t="str">
        <f>J32</f>
        <v>BFRE en jours de CA HT</v>
      </c>
      <c r="M32" s="258">
        <f>IF(M31&gt;L31,-(M31-L31),M31-L31)</f>
        <v>0</v>
      </c>
      <c r="N32" s="1158" t="str">
        <f t="shared" ref="N32:V32" si="17">L32</f>
        <v>BFRE en jours de CA HT</v>
      </c>
      <c r="O32" s="258">
        <f>IF(O31&gt;N31,-(O31-N31),O31-N31)</f>
        <v>0</v>
      </c>
      <c r="P32" s="1158" t="str">
        <f>N32</f>
        <v>BFRE en jours de CA HT</v>
      </c>
      <c r="Q32" s="258">
        <f>IF(Q31&gt;P31,-(Q31-P31),Q31-P31)</f>
        <v>0</v>
      </c>
      <c r="R32" s="1158" t="str">
        <f t="shared" si="17"/>
        <v>BFRE en jours de CA HT</v>
      </c>
      <c r="S32" s="258">
        <f>IF(S31&gt;R31,-(S31-R31),S31-R31)</f>
        <v>0</v>
      </c>
      <c r="T32" s="1158" t="str">
        <f t="shared" si="17"/>
        <v>BFRE en jours de CA HT</v>
      </c>
      <c r="U32" s="258">
        <f>IF(U31&gt;T31,-(U31-T31),U31-T31)</f>
        <v>0</v>
      </c>
      <c r="V32" s="1158" t="str">
        <f t="shared" si="17"/>
        <v>BFRE en jours de CA HT</v>
      </c>
      <c r="W32" s="258">
        <f>IF(W31&gt;V31,-(W31-V31),W31-V31)</f>
        <v>0</v>
      </c>
    </row>
    <row r="33" spans="1:23" ht="15" customHeight="1">
      <c r="A33" s="892" t="s">
        <v>387</v>
      </c>
      <c r="B33" s="892"/>
      <c r="C33" s="892"/>
      <c r="D33" s="892"/>
      <c r="E33" s="892"/>
      <c r="F33" s="892"/>
      <c r="G33" s="892"/>
      <c r="H33" s="42"/>
      <c r="I33" s="29"/>
      <c r="J33" s="1159"/>
      <c r="K33" s="257"/>
      <c r="L33" s="1158"/>
      <c r="M33" s="258"/>
      <c r="N33" s="1158"/>
      <c r="O33" s="258"/>
      <c r="P33" s="1158"/>
      <c r="Q33" s="258"/>
      <c r="R33" s="1158"/>
      <c r="S33" s="258"/>
      <c r="T33" s="1158"/>
      <c r="U33" s="258"/>
      <c r="V33" s="1158"/>
      <c r="W33" s="258"/>
    </row>
    <row r="34" spans="1:23">
      <c r="A34" s="892"/>
      <c r="B34" s="892"/>
      <c r="C34" s="892"/>
      <c r="D34" s="892"/>
      <c r="E34" s="892"/>
      <c r="F34" s="892"/>
      <c r="G34" s="892"/>
      <c r="H34" s="42"/>
      <c r="I34" s="19"/>
      <c r="J34" s="19"/>
      <c r="K34" s="19"/>
      <c r="L34" s="19"/>
      <c r="M34" s="19"/>
      <c r="N34" s="19"/>
      <c r="O34" s="19"/>
      <c r="P34" s="19"/>
      <c r="Q34" s="19"/>
      <c r="R34" s="19"/>
      <c r="S34" s="19"/>
      <c r="T34" s="19"/>
      <c r="U34" s="19"/>
      <c r="V34" s="19"/>
      <c r="W34" s="19"/>
    </row>
    <row r="35" spans="1:23" ht="15" customHeight="1">
      <c r="A35" s="892" t="s">
        <v>388</v>
      </c>
      <c r="B35" s="892"/>
      <c r="C35" s="892"/>
      <c r="D35" s="892"/>
      <c r="E35" s="892"/>
      <c r="F35" s="892"/>
      <c r="G35" s="892"/>
      <c r="H35" s="42"/>
    </row>
    <row r="36" spans="1:23">
      <c r="A36" s="892"/>
      <c r="B36" s="892"/>
      <c r="C36" s="892"/>
      <c r="D36" s="892"/>
      <c r="E36" s="892"/>
      <c r="F36" s="892"/>
      <c r="G36" s="892"/>
      <c r="H36" s="42"/>
      <c r="I36" s="371" t="s">
        <v>393</v>
      </c>
      <c r="J36" s="372"/>
      <c r="K36" s="373">
        <f>COUNTIF(G$41:G$47,"&gt;0")</f>
        <v>0</v>
      </c>
      <c r="L36" s="371" t="s">
        <v>395</v>
      </c>
      <c r="M36" s="372"/>
      <c r="N36" s="373">
        <f>COUNTIF(D41:D47,"&gt;0")</f>
        <v>0</v>
      </c>
    </row>
    <row r="37" spans="1:23">
      <c r="A37" s="71" t="s">
        <v>389</v>
      </c>
      <c r="B37" s="71"/>
      <c r="C37" s="71"/>
      <c r="D37" s="71"/>
      <c r="E37" s="71"/>
      <c r="F37" s="71"/>
      <c r="G37" s="71"/>
      <c r="H37" s="19"/>
      <c r="I37" s="374" t="s">
        <v>394</v>
      </c>
      <c r="J37" s="375"/>
      <c r="K37" s="376">
        <f>COUNTIF(G$41:G$47,"&lt;0")</f>
        <v>0</v>
      </c>
      <c r="L37" s="374" t="s">
        <v>396</v>
      </c>
      <c r="M37" s="375"/>
      <c r="N37" s="376">
        <f>COUNTIF(D41:D47,"&lt;0")</f>
        <v>0</v>
      </c>
    </row>
    <row r="39" spans="1:23">
      <c r="A39" t="s">
        <v>397</v>
      </c>
      <c r="B39" s="119" t="s">
        <v>398</v>
      </c>
      <c r="C39" s="119" t="s">
        <v>399</v>
      </c>
      <c r="D39" s="119" t="s">
        <v>400</v>
      </c>
      <c r="E39" s="260" t="s">
        <v>390</v>
      </c>
      <c r="F39" s="260" t="s">
        <v>391</v>
      </c>
      <c r="G39" s="260" t="s">
        <v>507</v>
      </c>
      <c r="H39" s="260" t="s">
        <v>508</v>
      </c>
      <c r="I39" s="265"/>
      <c r="J39" s="3"/>
    </row>
    <row r="40" spans="1:23">
      <c r="A40" s="10" t="s">
        <v>402</v>
      </c>
      <c r="B40" s="10">
        <v>0</v>
      </c>
      <c r="C40" s="10">
        <v>0</v>
      </c>
      <c r="D40" s="10">
        <v>0</v>
      </c>
      <c r="E40" s="10">
        <v>0</v>
      </c>
      <c r="F40" s="10">
        <v>0</v>
      </c>
      <c r="G40" s="10">
        <v>0</v>
      </c>
      <c r="H40" s="248">
        <f t="shared" ref="H40:H47" si="18">IFERROR(G40/C40*360,0)</f>
        <v>0</v>
      </c>
      <c r="J40" s="268"/>
      <c r="K40" s="269" t="str">
        <f>B10</f>
        <v>Année 1</v>
      </c>
      <c r="L40" s="269" t="str">
        <f t="shared" ref="L40:Q40" si="19">C10</f>
        <v/>
      </c>
      <c r="M40" s="269" t="str">
        <f t="shared" si="19"/>
        <v/>
      </c>
      <c r="N40" s="269" t="str">
        <f t="shared" si="19"/>
        <v/>
      </c>
      <c r="O40" s="269" t="str">
        <f t="shared" si="19"/>
        <v/>
      </c>
      <c r="P40" s="269" t="str">
        <f t="shared" si="19"/>
        <v/>
      </c>
      <c r="Q40" s="269" t="str">
        <f t="shared" si="19"/>
        <v/>
      </c>
    </row>
    <row r="41" spans="1:23">
      <c r="A41" s="10" t="s">
        <v>212</v>
      </c>
      <c r="B41" s="243">
        <f>K32</f>
        <v>0</v>
      </c>
      <c r="C41" s="243">
        <f>B12</f>
        <v>0</v>
      </c>
      <c r="D41" s="243">
        <f t="shared" ref="D41:D47" si="20">IFERROR(C41/360*B41,0)</f>
        <v>0</v>
      </c>
      <c r="E41" s="243">
        <f>D41-D40</f>
        <v>0</v>
      </c>
      <c r="F41" s="243">
        <f>B17</f>
        <v>0</v>
      </c>
      <c r="G41" s="243">
        <f>F41-(D41-D40)</f>
        <v>0</v>
      </c>
      <c r="H41" s="243">
        <f t="shared" si="18"/>
        <v>0</v>
      </c>
      <c r="J41" s="10" t="s">
        <v>397</v>
      </c>
      <c r="K41" s="10">
        <f>IF($D41&lt;0,1,IF($D41=0,0,-1))</f>
        <v>0</v>
      </c>
      <c r="L41" s="10">
        <f>IF($D42&lt;0,1,IF($D42=0,0,-1))</f>
        <v>0</v>
      </c>
      <c r="M41" s="10">
        <f>IF($D43&lt;0,1,IF($D43=0,0,-1))</f>
        <v>0</v>
      </c>
      <c r="N41" s="10">
        <f>IF($D44&lt;0,1,IF($D44=0,0,-1))</f>
        <v>0</v>
      </c>
      <c r="O41" s="10">
        <f>IF($D45&lt;0,1,IF($D45=0,0,-1))</f>
        <v>0</v>
      </c>
      <c r="P41" s="10">
        <f>IF($D46&lt;0,1,IF($D46=0,0,-1))</f>
        <v>0</v>
      </c>
      <c r="Q41" s="10">
        <f>IF($D47&lt;0,1,IF($D47=0,0,-1))</f>
        <v>0</v>
      </c>
    </row>
    <row r="42" spans="1:23">
      <c r="A42" s="10" t="str">
        <f>IF(C12=0,"","Année 2")</f>
        <v/>
      </c>
      <c r="B42" s="243">
        <f>M32</f>
        <v>0</v>
      </c>
      <c r="C42" s="243">
        <f>IF(C12=0,0,C12)</f>
        <v>0</v>
      </c>
      <c r="D42" s="243">
        <f t="shared" si="20"/>
        <v>0</v>
      </c>
      <c r="E42" s="243">
        <f>D42-D41</f>
        <v>0</v>
      </c>
      <c r="F42" s="243">
        <f>C17</f>
        <v>0</v>
      </c>
      <c r="G42" s="243">
        <f t="shared" ref="G42:G47" si="21">F42-(D42-D41)</f>
        <v>0</v>
      </c>
      <c r="H42" s="243">
        <f t="shared" si="18"/>
        <v>0</v>
      </c>
      <c r="J42" s="10" t="s">
        <v>401</v>
      </c>
      <c r="K42" s="10">
        <f>IF($G41&gt;0,1,IF($G41=0,0,-1))</f>
        <v>0</v>
      </c>
      <c r="L42" s="10">
        <f>IF($G42&gt;0,1,IF($G42=0,0,-1))</f>
        <v>0</v>
      </c>
      <c r="M42" s="10">
        <f>IF($G43&gt;0,1,IF($G43=0,0,-1))</f>
        <v>0</v>
      </c>
      <c r="N42" s="10">
        <f>IF($G44&gt;0,1,IF($G44=0,0,-1))</f>
        <v>0</v>
      </c>
      <c r="O42" s="10">
        <f>IF($G45&gt;0,1,IF($G45=0,0,-1))</f>
        <v>0</v>
      </c>
      <c r="P42" s="10">
        <f>IF($G46&gt;0,1,IF($G46=0,0,-1))</f>
        <v>0</v>
      </c>
      <c r="Q42" s="10">
        <f>IF($G47&gt;0,1,IF($G47=0,0,-1))</f>
        <v>0</v>
      </c>
    </row>
    <row r="43" spans="1:23">
      <c r="A43" s="10" t="str">
        <f>IF(D12=0,"","Année 3")</f>
        <v/>
      </c>
      <c r="B43" s="243">
        <f>O32</f>
        <v>0</v>
      </c>
      <c r="C43" s="10">
        <f>IF(D12=0,0,D12)</f>
        <v>0</v>
      </c>
      <c r="D43" s="243">
        <f t="shared" si="20"/>
        <v>0</v>
      </c>
      <c r="E43" s="243">
        <f t="shared" ref="E43:E47" si="22">D43-D42</f>
        <v>0</v>
      </c>
      <c r="F43" s="243">
        <f>D17</f>
        <v>0</v>
      </c>
      <c r="G43" s="243">
        <f t="shared" si="21"/>
        <v>0</v>
      </c>
      <c r="H43" s="243">
        <f t="shared" si="18"/>
        <v>0</v>
      </c>
    </row>
    <row r="44" spans="1:23">
      <c r="A44" s="10" t="str">
        <f>IF(E12=0,"","Année 4")</f>
        <v/>
      </c>
      <c r="B44" s="243">
        <f>Q32</f>
        <v>0</v>
      </c>
      <c r="C44" s="10">
        <f>IF(E12=0,0,E12)</f>
        <v>0</v>
      </c>
      <c r="D44" s="243">
        <f t="shared" si="20"/>
        <v>0</v>
      </c>
      <c r="E44" s="243">
        <f t="shared" si="22"/>
        <v>0</v>
      </c>
      <c r="F44" s="243">
        <f>E17</f>
        <v>0</v>
      </c>
      <c r="G44" s="243">
        <f t="shared" si="21"/>
        <v>0</v>
      </c>
      <c r="H44" s="243">
        <f t="shared" si="18"/>
        <v>0</v>
      </c>
    </row>
    <row r="45" spans="1:23">
      <c r="A45" s="10" t="str">
        <f>IF(F12=0,"","Année 5")</f>
        <v/>
      </c>
      <c r="B45" s="243">
        <f>S32</f>
        <v>0</v>
      </c>
      <c r="C45" s="10">
        <f>IF($F12=0,0,F12)</f>
        <v>0</v>
      </c>
      <c r="D45" s="243">
        <f t="shared" si="20"/>
        <v>0</v>
      </c>
      <c r="E45" s="243">
        <f t="shared" si="22"/>
        <v>0</v>
      </c>
      <c r="F45" s="243">
        <f>F17</f>
        <v>0</v>
      </c>
      <c r="G45" s="243">
        <f t="shared" si="21"/>
        <v>0</v>
      </c>
      <c r="H45" s="243">
        <f t="shared" si="18"/>
        <v>0</v>
      </c>
      <c r="K45" s="41"/>
      <c r="L45" s="41"/>
    </row>
    <row r="46" spans="1:23">
      <c r="A46" s="10" t="str">
        <f>IF($G12=0,"","Année 6")</f>
        <v/>
      </c>
      <c r="B46" s="248">
        <f>IF($B12=0,0,U32)</f>
        <v>0</v>
      </c>
      <c r="C46" s="10">
        <f>IF($G12=0,0,G12)</f>
        <v>0</v>
      </c>
      <c r="D46" s="243">
        <f t="shared" si="20"/>
        <v>0</v>
      </c>
      <c r="E46" s="243">
        <f t="shared" si="22"/>
        <v>0</v>
      </c>
      <c r="F46" s="243">
        <f>G17</f>
        <v>0</v>
      </c>
      <c r="G46" s="243">
        <f t="shared" si="21"/>
        <v>0</v>
      </c>
      <c r="H46" s="243">
        <f t="shared" si="18"/>
        <v>0</v>
      </c>
    </row>
    <row r="47" spans="1:23">
      <c r="A47" s="10" t="str">
        <f>IF(H12=0,"","Année 7")</f>
        <v/>
      </c>
      <c r="B47" s="248">
        <f>IF(C12=0,0,W32)</f>
        <v>0</v>
      </c>
      <c r="C47" s="10">
        <f>IF(H12=0,0,H12)</f>
        <v>0</v>
      </c>
      <c r="D47" s="243">
        <f t="shared" si="20"/>
        <v>0</v>
      </c>
      <c r="E47" s="243">
        <f t="shared" si="22"/>
        <v>0</v>
      </c>
      <c r="F47" s="243">
        <f>H17</f>
        <v>0</v>
      </c>
      <c r="G47" s="243">
        <f t="shared" si="21"/>
        <v>0</v>
      </c>
      <c r="H47" s="243">
        <f t="shared" si="18"/>
        <v>0</v>
      </c>
    </row>
    <row r="48" spans="1:23">
      <c r="A48" s="3"/>
      <c r="B48" s="3"/>
      <c r="C48" s="546" t="s">
        <v>392</v>
      </c>
      <c r="D48" s="546"/>
      <c r="E48" s="547">
        <f>SUM(E41:E47)-SUMIF(C41:C47,"=0",E41:E47)</f>
        <v>0</v>
      </c>
      <c r="F48" s="3"/>
      <c r="G48" s="3"/>
      <c r="L48" s="12"/>
      <c r="M48" s="12"/>
      <c r="N48" s="12"/>
      <c r="O48" s="12"/>
      <c r="P48" s="12"/>
      <c r="Q48" s="12"/>
      <c r="R48" s="12"/>
      <c r="S48" s="12"/>
      <c r="T48" s="12"/>
    </row>
    <row r="49" spans="1:21">
      <c r="L49" s="12"/>
      <c r="M49" s="12"/>
      <c r="N49" s="12"/>
      <c r="O49" s="12"/>
      <c r="P49" s="12"/>
      <c r="Q49" s="12"/>
      <c r="R49" s="12"/>
      <c r="S49" s="12"/>
      <c r="T49" s="12"/>
    </row>
    <row r="50" spans="1:21">
      <c r="A50" s="13" t="s">
        <v>403</v>
      </c>
      <c r="B50" s="13"/>
      <c r="C50" s="13"/>
      <c r="L50" s="458"/>
      <c r="M50" s="458"/>
      <c r="N50" s="458"/>
      <c r="O50" s="12"/>
      <c r="P50" s="12"/>
      <c r="Q50" s="12"/>
      <c r="R50" s="12"/>
      <c r="S50" s="12"/>
      <c r="T50" s="12"/>
    </row>
    <row r="51" spans="1:21">
      <c r="L51" s="12"/>
      <c r="M51" s="12"/>
      <c r="N51" s="12"/>
      <c r="O51" s="12"/>
      <c r="P51" s="12"/>
      <c r="Q51" s="12"/>
      <c r="R51" s="12"/>
      <c r="S51" s="12"/>
      <c r="T51" s="12"/>
    </row>
    <row r="52" spans="1:21">
      <c r="A52" s="366" t="s">
        <v>509</v>
      </c>
      <c r="B52" s="367">
        <f ca="1">SUM(B63:I63)</f>
        <v>0</v>
      </c>
      <c r="L52" s="12"/>
      <c r="M52" s="12"/>
      <c r="N52" s="12"/>
      <c r="O52" s="12"/>
      <c r="P52" s="12"/>
      <c r="Q52" s="12"/>
      <c r="R52" s="12"/>
      <c r="S52" s="12"/>
      <c r="T52" s="12"/>
    </row>
    <row r="53" spans="1:21">
      <c r="A53" s="461"/>
      <c r="B53" s="360">
        <f ca="1">IF(B64&lt;0,-B64,0)</f>
        <v>0</v>
      </c>
      <c r="C53" s="360">
        <f t="shared" ref="C53:I53" ca="1" si="23">IF(C64&lt;0,-C64,0)</f>
        <v>0</v>
      </c>
      <c r="D53" s="360">
        <f t="shared" ca="1" si="23"/>
        <v>0</v>
      </c>
      <c r="E53" s="360">
        <f t="shared" ca="1" si="23"/>
        <v>0</v>
      </c>
      <c r="F53" s="360">
        <f t="shared" ca="1" si="23"/>
        <v>0</v>
      </c>
      <c r="G53" s="360">
        <f t="shared" ca="1" si="23"/>
        <v>0</v>
      </c>
      <c r="H53" s="360">
        <f t="shared" ca="1" si="23"/>
        <v>0</v>
      </c>
      <c r="I53" s="360">
        <f t="shared" ca="1" si="23"/>
        <v>0</v>
      </c>
      <c r="J53" s="7"/>
      <c r="L53" s="279"/>
      <c r="M53" s="279"/>
      <c r="N53" s="80"/>
      <c r="O53" s="80"/>
      <c r="P53" s="80"/>
      <c r="Q53" s="80"/>
      <c r="R53" s="80"/>
      <c r="S53" s="80"/>
      <c r="T53" s="12"/>
    </row>
    <row r="54" spans="1:21">
      <c r="A54" s="461"/>
      <c r="B54" s="361">
        <f ca="1">IF(B64&gt;0,B64,0)</f>
        <v>0</v>
      </c>
      <c r="C54" s="361">
        <f t="shared" ref="C54:I54" ca="1" si="24">IF(C64&gt;0,C64,0)</f>
        <v>0</v>
      </c>
      <c r="D54" s="361">
        <f t="shared" ca="1" si="24"/>
        <v>0</v>
      </c>
      <c r="E54" s="360">
        <f t="shared" ca="1" si="24"/>
        <v>0</v>
      </c>
      <c r="F54" s="360">
        <f t="shared" ca="1" si="24"/>
        <v>0</v>
      </c>
      <c r="G54" s="360">
        <f t="shared" ca="1" si="24"/>
        <v>0</v>
      </c>
      <c r="H54" s="360">
        <f t="shared" ca="1" si="24"/>
        <v>0</v>
      </c>
      <c r="I54" s="360">
        <f t="shared" ca="1" si="24"/>
        <v>0</v>
      </c>
      <c r="J54" s="7"/>
      <c r="L54" s="279"/>
      <c r="M54" s="459"/>
      <c r="N54" s="28"/>
      <c r="O54" s="28"/>
      <c r="P54" s="28"/>
      <c r="Q54" s="28"/>
      <c r="R54" s="28"/>
      <c r="S54" s="28"/>
      <c r="T54" s="12"/>
    </row>
    <row r="55" spans="1:21">
      <c r="B55" s="578"/>
      <c r="C55" s="579">
        <v>1</v>
      </c>
      <c r="D55" s="579">
        <v>2</v>
      </c>
      <c r="E55" s="579">
        <v>3</v>
      </c>
      <c r="F55" s="579">
        <v>4</v>
      </c>
      <c r="G55" s="579">
        <v>5</v>
      </c>
      <c r="H55" s="579">
        <v>6</v>
      </c>
      <c r="I55" s="579">
        <v>7</v>
      </c>
      <c r="L55" s="279"/>
      <c r="M55" s="279"/>
      <c r="N55" s="460"/>
      <c r="O55" s="460"/>
      <c r="P55" s="460"/>
      <c r="Q55" s="460"/>
      <c r="R55" s="460"/>
      <c r="S55" s="28"/>
      <c r="T55" s="12"/>
    </row>
    <row r="56" spans="1:21">
      <c r="B56" s="579" t="s">
        <v>406</v>
      </c>
      <c r="C56" s="579" t="s">
        <v>407</v>
      </c>
      <c r="D56" s="579" t="s">
        <v>408</v>
      </c>
      <c r="E56" s="579" t="s">
        <v>409</v>
      </c>
      <c r="F56" s="579" t="s">
        <v>410</v>
      </c>
      <c r="G56" s="579" t="s">
        <v>411</v>
      </c>
      <c r="H56" s="579" t="s">
        <v>412</v>
      </c>
      <c r="I56" s="579" t="s">
        <v>413</v>
      </c>
      <c r="L56" s="279"/>
      <c r="M56" s="28"/>
      <c r="N56" s="460"/>
      <c r="O56" s="460"/>
      <c r="P56" s="460"/>
      <c r="Q56" s="460"/>
      <c r="R56" s="460"/>
      <c r="S56" s="28"/>
      <c r="T56" s="12"/>
    </row>
    <row r="57" spans="1:21">
      <c r="A57" s="10" t="s">
        <v>0</v>
      </c>
      <c r="B57" s="580"/>
      <c r="C57" s="581">
        <f t="shared" ref="C57:I57" si="25">B17</f>
        <v>0</v>
      </c>
      <c r="D57" s="581">
        <f t="shared" si="25"/>
        <v>0</v>
      </c>
      <c r="E57" s="581">
        <f t="shared" si="25"/>
        <v>0</v>
      </c>
      <c r="F57" s="581">
        <f t="shared" si="25"/>
        <v>0</v>
      </c>
      <c r="G57" s="581">
        <f t="shared" si="25"/>
        <v>0</v>
      </c>
      <c r="H57" s="581">
        <f t="shared" si="25"/>
        <v>0</v>
      </c>
      <c r="I57" s="581">
        <f t="shared" si="25"/>
        <v>0</v>
      </c>
      <c r="J57" s="362">
        <f>COUNTA('CACh prévi'!J27:P27)</f>
        <v>0</v>
      </c>
      <c r="L57" s="279"/>
      <c r="M57" s="28"/>
      <c r="N57" s="460"/>
      <c r="O57" s="460"/>
      <c r="P57" s="460"/>
      <c r="Q57" s="460"/>
      <c r="R57" s="460"/>
      <c r="S57" s="28"/>
      <c r="T57" s="12"/>
    </row>
    <row r="58" spans="1:21">
      <c r="A58" s="10" t="s">
        <v>414</v>
      </c>
      <c r="B58" s="581">
        <f ca="1">'P8'!B35</f>
        <v>0</v>
      </c>
      <c r="C58" s="581">
        <f ca="1">'P8'!C35</f>
        <v>0</v>
      </c>
      <c r="D58" s="581">
        <f ca="1">'P8'!D35</f>
        <v>0</v>
      </c>
      <c r="E58" s="581">
        <f ca="1">'P8'!E35</f>
        <v>0</v>
      </c>
      <c r="F58" s="581">
        <f ca="1">'P8'!F35</f>
        <v>0</v>
      </c>
      <c r="G58" s="581">
        <f ca="1">'P8'!G35</f>
        <v>0</v>
      </c>
      <c r="H58" s="581">
        <f ca="1">'P8'!H35</f>
        <v>0</v>
      </c>
      <c r="I58" s="581">
        <f ca="1">'P8'!I35</f>
        <v>0</v>
      </c>
      <c r="L58" s="279"/>
      <c r="M58" s="28"/>
      <c r="N58" s="460"/>
      <c r="O58" s="460"/>
      <c r="P58" s="460"/>
      <c r="Q58" s="460"/>
      <c r="R58" s="460"/>
      <c r="S58" s="28"/>
      <c r="T58" s="12"/>
    </row>
    <row r="59" spans="1:21">
      <c r="A59" s="272" t="s">
        <v>415</v>
      </c>
      <c r="B59" s="580">
        <f>'P8'!B39</f>
        <v>0</v>
      </c>
      <c r="C59" s="580">
        <f>'P8'!C39</f>
        <v>0</v>
      </c>
      <c r="D59" s="580">
        <f>'P8'!D39</f>
        <v>0</v>
      </c>
      <c r="E59" s="580">
        <f>'P8'!E39</f>
        <v>0</v>
      </c>
      <c r="F59" s="580">
        <f>'P8'!F39</f>
        <v>0</v>
      </c>
      <c r="G59" s="581">
        <f>'P8'!G39</f>
        <v>0</v>
      </c>
      <c r="H59" s="580">
        <f>'P8'!H39</f>
        <v>0</v>
      </c>
      <c r="I59" s="580">
        <f>'P8'!I39</f>
        <v>0</v>
      </c>
      <c r="L59" s="279"/>
      <c r="M59" s="28"/>
      <c r="N59" s="460"/>
      <c r="O59" s="460"/>
      <c r="P59" s="460"/>
      <c r="Q59" s="460"/>
      <c r="R59" s="460"/>
      <c r="S59" s="28"/>
      <c r="T59" s="12"/>
    </row>
    <row r="60" spans="1:21">
      <c r="A60" s="10" t="s">
        <v>416</v>
      </c>
      <c r="B60" s="580">
        <f ca="1">SUMIF($R11:$S15,BO!$F9,'BO Fin'!$L11:$L15)</f>
        <v>0</v>
      </c>
      <c r="C60" s="580">
        <f ca="1">SUMIF($R11:$S15,BO!$F10,'BO Fin'!$L11:$L15)</f>
        <v>0</v>
      </c>
      <c r="D60" s="580">
        <f ca="1">SUMIF($R11:$S15,BO!$F11,'BO Fin'!$L11:$L15)</f>
        <v>0</v>
      </c>
      <c r="E60" s="580">
        <f ca="1">SUMIF($R11:$S15,BO!$F12,'BO Fin'!$L11:$L15)</f>
        <v>0</v>
      </c>
      <c r="F60" s="580">
        <f ca="1">SUMIF($R11:$S15,BO!$F13,'BO Fin'!$L11:$L15)</f>
        <v>0</v>
      </c>
      <c r="G60" s="580">
        <f ca="1">SUMIF($R11:$S15,BO!$F14,'BO Fin'!$L11:$L15)</f>
        <v>0</v>
      </c>
      <c r="H60" s="580">
        <f ca="1">SUMIF($R11:$S15,BO!$F15,'BO Fin'!$L11:$L15)</f>
        <v>0</v>
      </c>
      <c r="I60" s="580">
        <f ca="1">SUMIF($R11:$S15,BO!$F16,'BO Fin'!$L11:$L15)</f>
        <v>0</v>
      </c>
      <c r="L60" s="279"/>
      <c r="M60" s="28"/>
      <c r="N60" s="460"/>
      <c r="O60" s="460"/>
      <c r="P60" s="460"/>
      <c r="Q60" s="460"/>
      <c r="R60" s="460"/>
      <c r="S60" s="28"/>
      <c r="T60" s="12"/>
    </row>
    <row r="61" spans="1:21">
      <c r="A61" s="273" t="s">
        <v>390</v>
      </c>
      <c r="B61" s="581">
        <f>IF(B59=0,E41,0)</f>
        <v>0</v>
      </c>
      <c r="C61" s="581">
        <f>IF(C59=0,E42,0)</f>
        <v>0</v>
      </c>
      <c r="D61" s="581">
        <f>IF(D59=0,E43,0)</f>
        <v>0</v>
      </c>
      <c r="E61" s="581">
        <f>IF(E59=0,E44,0)</f>
        <v>0</v>
      </c>
      <c r="F61" s="581">
        <f>IF(F59=0,E45,0)</f>
        <v>0</v>
      </c>
      <c r="G61" s="581">
        <f>IF(G59=0,E46,0)</f>
        <v>0</v>
      </c>
      <c r="H61" s="581">
        <f>IF(H59=0,E47,0)</f>
        <v>0</v>
      </c>
      <c r="I61" s="581">
        <v>0</v>
      </c>
      <c r="L61" s="279"/>
      <c r="M61" s="279"/>
      <c r="N61" s="460"/>
      <c r="O61" s="460"/>
      <c r="P61" s="460"/>
      <c r="Q61" s="460"/>
      <c r="R61" s="460"/>
      <c r="S61" s="28"/>
      <c r="T61" s="12"/>
      <c r="U61" s="3"/>
    </row>
    <row r="62" spans="1:21">
      <c r="A62" s="273" t="s">
        <v>417</v>
      </c>
      <c r="B62" s="581">
        <f ca="1">B57+B58+B59-B60-B61</f>
        <v>0</v>
      </c>
      <c r="C62" s="581">
        <f t="shared" ref="C62:I62" ca="1" si="26">C57+C58+C59-C60-C61</f>
        <v>0</v>
      </c>
      <c r="D62" s="581">
        <f t="shared" ca="1" si="26"/>
        <v>0</v>
      </c>
      <c r="E62" s="581">
        <f t="shared" ca="1" si="26"/>
        <v>0</v>
      </c>
      <c r="F62" s="581">
        <f t="shared" ca="1" si="26"/>
        <v>0</v>
      </c>
      <c r="G62" s="581">
        <f t="shared" ca="1" si="26"/>
        <v>0</v>
      </c>
      <c r="H62" s="581">
        <f t="shared" ca="1" si="26"/>
        <v>0</v>
      </c>
      <c r="I62" s="581">
        <f t="shared" ca="1" si="26"/>
        <v>0</v>
      </c>
      <c r="L62" s="279"/>
      <c r="M62" s="459"/>
      <c r="N62" s="460"/>
      <c r="O62" s="460"/>
      <c r="P62" s="460"/>
      <c r="Q62" s="460"/>
      <c r="R62" s="460"/>
      <c r="S62" s="28"/>
      <c r="T62" s="12"/>
      <c r="U62" s="3"/>
    </row>
    <row r="63" spans="1:21">
      <c r="A63" s="274" t="s">
        <v>418</v>
      </c>
      <c r="B63" s="581">
        <f ca="1">B62</f>
        <v>0</v>
      </c>
      <c r="C63" s="581">
        <f ca="1">C62*(1+Paramètres!C7)^(-1)</f>
        <v>0</v>
      </c>
      <c r="D63" s="581">
        <f ca="1">D62*(1+Paramètres!C7)^(-2)</f>
        <v>0</v>
      </c>
      <c r="E63" s="581">
        <f ca="1">E62*(1+Paramètres!C7)^(-3)</f>
        <v>0</v>
      </c>
      <c r="F63" s="581">
        <f ca="1">F62*(1+Paramètres!C7)^(-4)</f>
        <v>0</v>
      </c>
      <c r="G63" s="581">
        <f ca="1">G62*(1+Paramètres!C7)^(-5)</f>
        <v>0</v>
      </c>
      <c r="H63" s="581">
        <f ca="1">H62*(1+Paramètres!C7)^(-6)</f>
        <v>0</v>
      </c>
      <c r="I63" s="581">
        <f ca="1">I62*(1+Paramètres!C7)^(-7)</f>
        <v>0</v>
      </c>
      <c r="L63" s="279"/>
      <c r="M63" s="279"/>
      <c r="N63" s="28"/>
      <c r="O63" s="28"/>
      <c r="P63" s="28"/>
      <c r="Q63" s="28"/>
      <c r="R63" s="28"/>
      <c r="S63" s="28"/>
      <c r="T63" s="12"/>
      <c r="U63" s="3"/>
    </row>
    <row r="64" spans="1:21">
      <c r="A64" s="274" t="s">
        <v>419</v>
      </c>
      <c r="B64" s="581">
        <f ca="1">B63</f>
        <v>0</v>
      </c>
      <c r="C64" s="581">
        <f ca="1">B64+C63</f>
        <v>0</v>
      </c>
      <c r="D64" s="581">
        <f t="shared" ref="D64:I64" ca="1" si="27">C64+D63</f>
        <v>0</v>
      </c>
      <c r="E64" s="581">
        <f t="shared" ca="1" si="27"/>
        <v>0</v>
      </c>
      <c r="F64" s="581">
        <f t="shared" ca="1" si="27"/>
        <v>0</v>
      </c>
      <c r="G64" s="581">
        <f t="shared" ca="1" si="27"/>
        <v>0</v>
      </c>
      <c r="H64" s="581">
        <f t="shared" ca="1" si="27"/>
        <v>0</v>
      </c>
      <c r="I64" s="581">
        <f t="shared" ca="1" si="27"/>
        <v>0</v>
      </c>
      <c r="P64" s="3"/>
      <c r="Q64" s="3"/>
      <c r="R64" s="3"/>
      <c r="T64" s="3"/>
      <c r="U64" s="3"/>
    </row>
    <row r="65" spans="1:21">
      <c r="A65" s="275"/>
      <c r="B65" s="360" t="b">
        <f ca="1">IF(B64&gt;0,TRUE,FALSE)</f>
        <v>0</v>
      </c>
      <c r="C65" s="360" t="b">
        <f t="shared" ref="C65:I65" ca="1" si="28">IF(C64&gt;0,TRUE,FALSE)</f>
        <v>0</v>
      </c>
      <c r="D65" s="360" t="b">
        <f t="shared" ca="1" si="28"/>
        <v>0</v>
      </c>
      <c r="E65" s="360" t="b">
        <f t="shared" ca="1" si="28"/>
        <v>0</v>
      </c>
      <c r="F65" s="360" t="b">
        <f t="shared" ca="1" si="28"/>
        <v>0</v>
      </c>
      <c r="G65" s="360" t="b">
        <f t="shared" ca="1" si="28"/>
        <v>0</v>
      </c>
      <c r="H65" s="360" t="b">
        <f t="shared" ca="1" si="28"/>
        <v>0</v>
      </c>
      <c r="I65" s="360" t="b">
        <f t="shared" ca="1" si="28"/>
        <v>0</v>
      </c>
      <c r="J65" s="7"/>
      <c r="P65" s="3"/>
      <c r="Q65" s="3"/>
      <c r="R65" s="3"/>
      <c r="T65" s="3"/>
      <c r="U65" s="3"/>
    </row>
    <row r="66" spans="1:21">
      <c r="A66" s="275"/>
      <c r="B66" s="360" t="str">
        <f ca="1">IF(B65=TRUE,-A64,"")</f>
        <v/>
      </c>
      <c r="C66" s="360" t="str">
        <f t="shared" ref="C66:I66" ca="1" si="29">IF(C65=TRUE,-B64,"")</f>
        <v/>
      </c>
      <c r="D66" s="360" t="str">
        <f t="shared" ca="1" si="29"/>
        <v/>
      </c>
      <c r="E66" s="360" t="str">
        <f t="shared" ca="1" si="29"/>
        <v/>
      </c>
      <c r="F66" s="360" t="str">
        <f t="shared" ca="1" si="29"/>
        <v/>
      </c>
      <c r="G66" s="360" t="str">
        <f t="shared" ca="1" si="29"/>
        <v/>
      </c>
      <c r="H66" s="360" t="str">
        <f t="shared" ca="1" si="29"/>
        <v/>
      </c>
      <c r="I66" s="360" t="str">
        <f t="shared" ca="1" si="29"/>
        <v/>
      </c>
      <c r="J66" s="7"/>
      <c r="L66" s="3"/>
      <c r="M66" s="3"/>
      <c r="N66" s="3"/>
      <c r="O66" s="3"/>
      <c r="P66" s="3"/>
      <c r="Q66" s="3"/>
      <c r="R66" s="3"/>
      <c r="S66" s="3"/>
      <c r="T66" s="3"/>
      <c r="U66" s="3"/>
    </row>
    <row r="67" spans="1:21">
      <c r="A67" s="275"/>
      <c r="B67" s="360" t="str">
        <f ca="1">IF(B65=TRUE,(B64-A64)/360,"")</f>
        <v/>
      </c>
      <c r="C67" s="360" t="str">
        <f t="shared" ref="C67:I67" ca="1" si="30">IF(C65=TRUE,(C64-B64)/360,"")</f>
        <v/>
      </c>
      <c r="D67" s="360" t="str">
        <f t="shared" ca="1" si="30"/>
        <v/>
      </c>
      <c r="E67" s="360" t="str">
        <f t="shared" ca="1" si="30"/>
        <v/>
      </c>
      <c r="F67" s="360" t="str">
        <f t="shared" ca="1" si="30"/>
        <v/>
      </c>
      <c r="G67" s="360" t="str">
        <f t="shared" ca="1" si="30"/>
        <v/>
      </c>
      <c r="H67" s="360" t="str">
        <f t="shared" ca="1" si="30"/>
        <v/>
      </c>
      <c r="I67" s="360" t="str">
        <f t="shared" ca="1" si="30"/>
        <v/>
      </c>
      <c r="J67" s="7"/>
      <c r="L67" s="3"/>
      <c r="M67" s="3"/>
      <c r="N67" s="3"/>
      <c r="O67" s="3"/>
      <c r="P67" s="3"/>
      <c r="Q67" s="3"/>
      <c r="R67" s="3"/>
      <c r="S67" s="3"/>
      <c r="T67" s="3"/>
      <c r="U67" s="3"/>
    </row>
    <row r="68" spans="1:21">
      <c r="A68" s="368" t="s">
        <v>510</v>
      </c>
      <c r="B68" s="369"/>
      <c r="C68" s="370">
        <f ca="1">IFERROR((B52/(B60+B61))+1,0)</f>
        <v>0</v>
      </c>
      <c r="D68" s="584" t="e">
        <f ca="1">SMALL(B53:I53,COUNTIF(B53:I53,0)+1)</f>
        <v>#NUM!</v>
      </c>
      <c r="E68" s="582">
        <f ca="1">IFERROR(D68/((D68+D69)/360),0)</f>
        <v>0</v>
      </c>
      <c r="F68" s="363" t="s">
        <v>420</v>
      </c>
      <c r="G68" s="365">
        <f ca="1">G69/BO!C16</f>
        <v>0</v>
      </c>
      <c r="H68" s="363"/>
      <c r="I68" s="363"/>
      <c r="L68" s="17"/>
      <c r="M68" s="27"/>
      <c r="N68" s="27"/>
      <c r="O68" s="27"/>
      <c r="P68" s="27"/>
      <c r="Q68" s="27"/>
      <c r="R68" s="27"/>
      <c r="S68" s="27"/>
      <c r="T68" s="27"/>
      <c r="U68" s="3"/>
    </row>
    <row r="69" spans="1:21">
      <c r="A69" s="371" t="s">
        <v>511</v>
      </c>
      <c r="B69" s="372"/>
      <c r="C69" s="381"/>
      <c r="D69" s="584" t="e">
        <f ca="1">SMALL(B54:I54,COUNTIF(B54:I54,0)+1)</f>
        <v>#NUM!</v>
      </c>
      <c r="E69" s="583">
        <f ca="1">IFERROR(HLOOKUP(D69,B54:I55,2,FALSE),0)</f>
        <v>0</v>
      </c>
      <c r="F69" s="264" t="s">
        <v>421</v>
      </c>
      <c r="G69" s="364">
        <f ca="1">E69*12+E68/30</f>
        <v>0</v>
      </c>
      <c r="H69" s="264" t="s">
        <v>422</v>
      </c>
      <c r="I69" s="264"/>
      <c r="L69" s="17"/>
      <c r="M69" s="17"/>
      <c r="N69" s="17"/>
      <c r="O69" s="17"/>
      <c r="P69" s="17"/>
      <c r="Q69" s="17"/>
      <c r="R69" s="17"/>
      <c r="S69" s="17"/>
      <c r="T69" s="17"/>
      <c r="U69" s="3"/>
    </row>
    <row r="70" spans="1:21">
      <c r="A70" s="374" t="str">
        <f ca="1">E69&amp;" ans et "&amp;F70&amp;" mois et "&amp;E71&amp;" jours, soit "&amp;ROUNDUP(G69,0)&amp;" mois"</f>
        <v>0 ans et 0 mois et 0 jours, soit 0 mois</v>
      </c>
      <c r="B70" s="375"/>
      <c r="C70" s="382"/>
      <c r="D70" s="7"/>
      <c r="E70" s="48">
        <f ca="1">E68/30</f>
        <v>0</v>
      </c>
      <c r="F70" s="48">
        <f ca="1">ROUNDDOWN(E70,0)</f>
        <v>0</v>
      </c>
      <c r="G70" s="264"/>
      <c r="H70" s="264"/>
      <c r="I70" s="264"/>
      <c r="L70" s="17"/>
      <c r="M70" s="325"/>
      <c r="N70" s="325"/>
      <c r="O70" s="325"/>
      <c r="P70" s="325"/>
      <c r="Q70" s="325"/>
      <c r="R70" s="325"/>
      <c r="S70" s="325"/>
      <c r="T70" s="325"/>
      <c r="U70" s="3"/>
    </row>
    <row r="71" spans="1:21">
      <c r="B71" s="264"/>
      <c r="C71" s="264"/>
      <c r="D71" s="264"/>
      <c r="E71" s="462">
        <f ca="1">ROUND((E70-F70)*30,0)</f>
        <v>0</v>
      </c>
      <c r="F71" s="7"/>
      <c r="G71" s="264"/>
      <c r="H71" s="264"/>
      <c r="I71" s="264"/>
      <c r="L71" s="17"/>
      <c r="M71" s="325"/>
      <c r="N71" s="325"/>
      <c r="O71" s="325"/>
      <c r="P71" s="325"/>
      <c r="Q71" s="325"/>
      <c r="R71" s="325"/>
      <c r="S71" s="325"/>
      <c r="T71" s="325"/>
      <c r="U71" s="3"/>
    </row>
    <row r="72" spans="1:21">
      <c r="A72" s="385" t="s">
        <v>516</v>
      </c>
      <c r="B72" s="386"/>
      <c r="C72" s="386"/>
      <c r="D72" s="386"/>
      <c r="E72" s="386"/>
      <c r="F72" s="386"/>
      <c r="G72" s="384">
        <f>SUM(Fin!B22:B24)*((1+Paramètres!G7)^(Paramètres!E4))</f>
        <v>0</v>
      </c>
      <c r="L72" s="17"/>
      <c r="M72" s="325"/>
      <c r="N72" s="325"/>
      <c r="O72" s="325"/>
      <c r="P72" s="325"/>
      <c r="Q72" s="325"/>
      <c r="R72" s="325"/>
      <c r="S72" s="325"/>
      <c r="T72" s="325"/>
      <c r="U72" s="3"/>
    </row>
    <row r="73" spans="1:21">
      <c r="L73" s="448"/>
      <c r="M73" s="325"/>
      <c r="N73" s="325"/>
      <c r="O73" s="325"/>
      <c r="P73" s="325"/>
      <c r="Q73" s="325"/>
      <c r="R73" s="325"/>
      <c r="S73" s="325"/>
      <c r="T73" s="325"/>
      <c r="U73" s="3"/>
    </row>
    <row r="74" spans="1:21">
      <c r="A74" s="13" t="s">
        <v>514</v>
      </c>
      <c r="B74" s="13"/>
      <c r="C74" s="173"/>
      <c r="L74" s="17"/>
      <c r="M74" s="17"/>
      <c r="N74" s="17"/>
      <c r="O74" s="17"/>
      <c r="P74" s="17"/>
      <c r="Q74" s="17"/>
      <c r="R74" s="17"/>
      <c r="S74" s="17"/>
      <c r="T74" s="17"/>
      <c r="U74" s="3"/>
    </row>
    <row r="75" spans="1:21">
      <c r="L75" s="448"/>
      <c r="M75" s="17"/>
      <c r="N75" s="17"/>
      <c r="O75" s="17"/>
      <c r="P75" s="17"/>
      <c r="Q75" s="17"/>
      <c r="R75" s="17"/>
      <c r="S75" s="17"/>
      <c r="T75" s="17"/>
      <c r="U75" s="3"/>
    </row>
    <row r="76" spans="1:21">
      <c r="A76" s="10"/>
      <c r="B76" s="137" t="str">
        <f t="shared" ref="B76:H78" si="31">B10</f>
        <v>Année 1</v>
      </c>
      <c r="C76" s="137" t="str">
        <f t="shared" si="31"/>
        <v/>
      </c>
      <c r="D76" s="137" t="str">
        <f t="shared" si="31"/>
        <v/>
      </c>
      <c r="E76" s="137" t="str">
        <f t="shared" si="31"/>
        <v/>
      </c>
      <c r="F76" s="137" t="str">
        <f t="shared" si="31"/>
        <v/>
      </c>
      <c r="G76" s="137" t="str">
        <f t="shared" si="31"/>
        <v/>
      </c>
      <c r="H76" s="137" t="str">
        <f t="shared" si="31"/>
        <v/>
      </c>
      <c r="I76" s="137" t="s">
        <v>324</v>
      </c>
      <c r="L76" s="448"/>
      <c r="M76" s="17"/>
      <c r="N76" s="17"/>
      <c r="O76" s="17"/>
      <c r="P76" s="17"/>
      <c r="Q76" s="17"/>
      <c r="R76" s="17"/>
      <c r="S76" s="17"/>
      <c r="T76" s="17"/>
      <c r="U76" s="261"/>
    </row>
    <row r="77" spans="1:21">
      <c r="A77" s="10" t="s">
        <v>512</v>
      </c>
      <c r="B77" s="10">
        <f t="shared" si="31"/>
        <v>12</v>
      </c>
      <c r="C77" s="10">
        <f t="shared" si="31"/>
        <v>12</v>
      </c>
      <c r="D77" s="10">
        <f t="shared" si="31"/>
        <v>12</v>
      </c>
      <c r="E77" s="10">
        <f t="shared" si="31"/>
        <v>12</v>
      </c>
      <c r="F77" s="10">
        <f t="shared" si="31"/>
        <v>12</v>
      </c>
      <c r="G77" s="10">
        <f t="shared" si="31"/>
        <v>12</v>
      </c>
      <c r="H77" s="10">
        <f t="shared" si="31"/>
        <v>12</v>
      </c>
      <c r="I77" s="10">
        <f>SUM(B77:H77)</f>
        <v>84</v>
      </c>
      <c r="L77" s="17"/>
      <c r="M77" s="17"/>
      <c r="N77" s="325"/>
      <c r="O77" s="325"/>
      <c r="P77" s="325"/>
      <c r="Q77" s="325"/>
      <c r="R77" s="325"/>
      <c r="S77" s="325"/>
      <c r="T77" s="325"/>
      <c r="U77" s="3"/>
    </row>
    <row r="78" spans="1:21">
      <c r="A78" s="10" t="str">
        <f>A12</f>
        <v>CA HT prév</v>
      </c>
      <c r="B78" s="10">
        <f t="shared" si="31"/>
        <v>0</v>
      </c>
      <c r="C78" s="10">
        <f t="shared" si="31"/>
        <v>0</v>
      </c>
      <c r="D78" s="10">
        <f t="shared" si="31"/>
        <v>0</v>
      </c>
      <c r="E78" s="10">
        <f t="shared" si="31"/>
        <v>0</v>
      </c>
      <c r="F78" s="10">
        <f t="shared" si="31"/>
        <v>0</v>
      </c>
      <c r="G78" s="10">
        <f t="shared" si="31"/>
        <v>0</v>
      </c>
      <c r="H78" s="10">
        <f t="shared" si="31"/>
        <v>0</v>
      </c>
      <c r="I78" s="315">
        <f t="shared" ref="I78:I79" si="32">SUM(B78:H78)</f>
        <v>0</v>
      </c>
      <c r="L78" s="17"/>
      <c r="M78" s="17"/>
      <c r="N78" s="17"/>
      <c r="O78" s="17"/>
      <c r="P78" s="17"/>
      <c r="Q78" s="17"/>
      <c r="R78" s="17"/>
      <c r="S78" s="17"/>
      <c r="T78" s="17"/>
      <c r="U78" s="3"/>
    </row>
    <row r="79" spans="1:21">
      <c r="A79" s="10" t="s">
        <v>515</v>
      </c>
      <c r="B79" s="315">
        <f t="shared" ref="B79:H79" si="33">B15+B16</f>
        <v>0</v>
      </c>
      <c r="C79" s="315">
        <f t="shared" si="33"/>
        <v>0</v>
      </c>
      <c r="D79" s="315">
        <f t="shared" si="33"/>
        <v>0</v>
      </c>
      <c r="E79" s="315">
        <f t="shared" si="33"/>
        <v>0</v>
      </c>
      <c r="F79" s="315">
        <f t="shared" si="33"/>
        <v>0</v>
      </c>
      <c r="G79" s="315">
        <f t="shared" si="33"/>
        <v>0</v>
      </c>
      <c r="H79" s="315">
        <f t="shared" si="33"/>
        <v>0</v>
      </c>
      <c r="I79" s="315">
        <f t="shared" si="32"/>
        <v>0</v>
      </c>
      <c r="L79" s="449"/>
      <c r="M79" s="17"/>
      <c r="N79" s="17"/>
      <c r="O79" s="17"/>
      <c r="P79" s="17"/>
      <c r="Q79" s="17"/>
      <c r="R79" s="17"/>
      <c r="S79" s="17"/>
      <c r="T79" s="17"/>
      <c r="U79" s="3"/>
    </row>
    <row r="80" spans="1:21">
      <c r="A80" s="10" t="s">
        <v>513</v>
      </c>
      <c r="B80" s="383">
        <f t="shared" ref="B80:I80" si="34">IFERROR(B14/B12,0)</f>
        <v>0</v>
      </c>
      <c r="C80" s="383">
        <f t="shared" si="34"/>
        <v>0</v>
      </c>
      <c r="D80" s="383">
        <f t="shared" si="34"/>
        <v>0</v>
      </c>
      <c r="E80" s="383">
        <f t="shared" si="34"/>
        <v>0</v>
      </c>
      <c r="F80" s="383">
        <f t="shared" si="34"/>
        <v>0</v>
      </c>
      <c r="G80" s="383">
        <f t="shared" si="34"/>
        <v>0</v>
      </c>
      <c r="H80" s="383">
        <f t="shared" si="34"/>
        <v>0</v>
      </c>
      <c r="I80" s="383">
        <f t="shared" si="34"/>
        <v>0</v>
      </c>
      <c r="L80" s="450"/>
      <c r="M80" s="325"/>
      <c r="N80" s="325"/>
      <c r="O80" s="325"/>
      <c r="P80" s="325"/>
      <c r="Q80" s="325"/>
      <c r="R80" s="325"/>
      <c r="S80" s="325"/>
      <c r="T80" s="325"/>
      <c r="U80" s="3"/>
    </row>
    <row r="81" spans="1:21">
      <c r="A81" s="10" t="s">
        <v>519</v>
      </c>
      <c r="B81" s="315">
        <f>IFERROR(B79/B80,0)</f>
        <v>0</v>
      </c>
      <c r="C81" s="315">
        <f t="shared" ref="C81:I81" si="35">IFERROR(C79/C80,0)</f>
        <v>0</v>
      </c>
      <c r="D81" s="315">
        <f t="shared" si="35"/>
        <v>0</v>
      </c>
      <c r="E81" s="315">
        <f t="shared" si="35"/>
        <v>0</v>
      </c>
      <c r="F81" s="315">
        <f t="shared" si="35"/>
        <v>0</v>
      </c>
      <c r="G81" s="315">
        <f t="shared" si="35"/>
        <v>0</v>
      </c>
      <c r="H81" s="315">
        <f t="shared" si="35"/>
        <v>0</v>
      </c>
      <c r="I81" s="315">
        <f t="shared" si="35"/>
        <v>0</v>
      </c>
      <c r="L81" s="451"/>
      <c r="M81" s="17"/>
      <c r="N81" s="17"/>
      <c r="O81" s="17"/>
      <c r="P81" s="17"/>
      <c r="Q81" s="17"/>
      <c r="R81" s="17"/>
      <c r="S81" s="17"/>
      <c r="T81" s="17"/>
      <c r="U81" s="3"/>
    </row>
    <row r="82" spans="1:21">
      <c r="A82" s="10" t="s">
        <v>478</v>
      </c>
      <c r="B82" s="315">
        <f>IFERROR(B78-B81,0)</f>
        <v>0</v>
      </c>
      <c r="C82" s="315">
        <f>IFERROR(C78-C81,0)</f>
        <v>0</v>
      </c>
      <c r="D82" s="315">
        <f>IFERROR(D78-D81,0)</f>
        <v>0</v>
      </c>
      <c r="E82" s="315">
        <f>IFERROR(E78-E81,0)</f>
        <v>0</v>
      </c>
      <c r="F82" s="315">
        <f>IFERROR(F78-F81,0)</f>
        <v>0</v>
      </c>
      <c r="G82" s="315">
        <f t="shared" ref="G82:I82" si="36">G78-G81</f>
        <v>0</v>
      </c>
      <c r="H82" s="315">
        <f t="shared" si="36"/>
        <v>0</v>
      </c>
      <c r="I82" s="315">
        <f t="shared" si="36"/>
        <v>0</v>
      </c>
      <c r="L82" s="17"/>
      <c r="M82" s="325"/>
      <c r="N82" s="325"/>
      <c r="O82" s="325"/>
      <c r="P82" s="325"/>
      <c r="Q82" s="325"/>
      <c r="R82" s="325"/>
      <c r="S82" s="325"/>
      <c r="T82" s="325"/>
      <c r="U82" s="3"/>
    </row>
    <row r="83" spans="1:21">
      <c r="A83" s="10" t="s">
        <v>479</v>
      </c>
      <c r="B83" s="239">
        <f t="shared" ref="B83:I83" si="37">IFERROR(B82/B78,0)</f>
        <v>0</v>
      </c>
      <c r="C83" s="239">
        <f t="shared" si="37"/>
        <v>0</v>
      </c>
      <c r="D83" s="239">
        <f t="shared" si="37"/>
        <v>0</v>
      </c>
      <c r="E83" s="239">
        <f t="shared" si="37"/>
        <v>0</v>
      </c>
      <c r="F83" s="239">
        <f t="shared" si="37"/>
        <v>0</v>
      </c>
      <c r="G83" s="239">
        <f t="shared" si="37"/>
        <v>0</v>
      </c>
      <c r="H83" s="239">
        <f t="shared" si="37"/>
        <v>0</v>
      </c>
      <c r="I83" s="239">
        <f t="shared" si="37"/>
        <v>0</v>
      </c>
      <c r="L83" s="17"/>
      <c r="M83" s="17"/>
      <c r="N83" s="17"/>
      <c r="O83" s="17"/>
      <c r="P83" s="17"/>
      <c r="Q83" s="17"/>
      <c r="R83" s="17"/>
      <c r="S83" s="17"/>
      <c r="T83" s="17"/>
      <c r="U83" s="3"/>
    </row>
    <row r="84" spans="1:21">
      <c r="A84" s="10" t="s">
        <v>518</v>
      </c>
      <c r="B84" s="248">
        <f t="shared" ref="B84:I84" si="38">IFERROR(1/B83,0)</f>
        <v>0</v>
      </c>
      <c r="C84" s="248">
        <f t="shared" si="38"/>
        <v>0</v>
      </c>
      <c r="D84" s="248">
        <f t="shared" si="38"/>
        <v>0</v>
      </c>
      <c r="E84" s="248">
        <f t="shared" si="38"/>
        <v>0</v>
      </c>
      <c r="F84" s="248">
        <f t="shared" si="38"/>
        <v>0</v>
      </c>
      <c r="G84" s="248">
        <f t="shared" si="38"/>
        <v>0</v>
      </c>
      <c r="H84" s="248">
        <f t="shared" si="38"/>
        <v>0</v>
      </c>
      <c r="I84" s="248">
        <f t="shared" si="38"/>
        <v>0</v>
      </c>
      <c r="L84" s="17"/>
      <c r="M84" s="325"/>
      <c r="N84" s="325"/>
      <c r="O84" s="325"/>
      <c r="P84" s="325"/>
      <c r="Q84" s="325"/>
      <c r="R84" s="325"/>
      <c r="S84" s="325"/>
      <c r="T84" s="325"/>
      <c r="U84" s="3"/>
    </row>
    <row r="85" spans="1:21">
      <c r="L85" s="17"/>
      <c r="M85" s="325"/>
      <c r="N85" s="325"/>
      <c r="O85" s="325"/>
      <c r="P85" s="325"/>
      <c r="Q85" s="325"/>
      <c r="R85" s="325"/>
      <c r="S85" s="325"/>
      <c r="T85" s="325"/>
      <c r="U85" s="3"/>
    </row>
    <row r="86" spans="1:21">
      <c r="L86" s="17"/>
      <c r="M86" s="325"/>
      <c r="N86" s="325"/>
      <c r="O86" s="325"/>
      <c r="P86" s="325"/>
      <c r="Q86" s="325"/>
      <c r="R86" s="325"/>
      <c r="S86" s="325"/>
      <c r="T86" s="325"/>
      <c r="U86" s="3"/>
    </row>
    <row r="87" spans="1:21">
      <c r="L87" s="17"/>
      <c r="M87" s="325"/>
      <c r="N87" s="325"/>
      <c r="O87" s="325"/>
      <c r="P87" s="325"/>
      <c r="Q87" s="325"/>
      <c r="R87" s="325"/>
      <c r="S87" s="325"/>
      <c r="T87" s="325"/>
      <c r="U87" s="3"/>
    </row>
    <row r="88" spans="1:21">
      <c r="L88" s="3"/>
      <c r="M88" s="3"/>
      <c r="N88" s="3"/>
      <c r="O88" s="3"/>
      <c r="P88" s="3"/>
      <c r="Q88" s="3"/>
      <c r="R88" s="3"/>
      <c r="S88" s="3"/>
      <c r="T88" s="3"/>
      <c r="U88" s="3"/>
    </row>
  </sheetData>
  <sheetProtection password="B094" sheet="1" objects="1" scenarios="1"/>
  <mergeCells count="20">
    <mergeCell ref="A35:G36"/>
    <mergeCell ref="N22:O22"/>
    <mergeCell ref="L32:L33"/>
    <mergeCell ref="N32:N33"/>
    <mergeCell ref="V32:V33"/>
    <mergeCell ref="A33:G34"/>
    <mergeCell ref="P32:P33"/>
    <mergeCell ref="R32:R33"/>
    <mergeCell ref="T32:T33"/>
    <mergeCell ref="P22:Q22"/>
    <mergeCell ref="R22:S22"/>
    <mergeCell ref="T22:U22"/>
    <mergeCell ref="V22:W22"/>
    <mergeCell ref="J32:J33"/>
    <mergeCell ref="P9:P10"/>
    <mergeCell ref="Q9:Q10"/>
    <mergeCell ref="C1:G1"/>
    <mergeCell ref="C22:I22"/>
    <mergeCell ref="J22:K22"/>
    <mergeCell ref="L22:M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49"/>
  <sheetViews>
    <sheetView topLeftCell="A22" workbookViewId="0">
      <selection activeCell="E43" sqref="E43"/>
    </sheetView>
  </sheetViews>
  <sheetFormatPr baseColWidth="10" defaultRowHeight="15"/>
  <cols>
    <col min="7" max="7" width="13.5703125" customWidth="1"/>
  </cols>
  <sheetData>
    <row r="1" spans="1:7">
      <c r="A1" s="1"/>
      <c r="B1" s="1"/>
      <c r="C1" s="1"/>
      <c r="D1" s="1"/>
      <c r="E1" s="1"/>
      <c r="F1" s="1"/>
      <c r="G1" s="1"/>
    </row>
    <row r="2" spans="1:7" ht="21" customHeight="1">
      <c r="A2" s="1"/>
      <c r="B2" s="1"/>
      <c r="C2" s="771" t="s">
        <v>183</v>
      </c>
      <c r="D2" s="771"/>
      <c r="E2" s="771"/>
      <c r="F2" s="771"/>
      <c r="G2" s="771"/>
    </row>
    <row r="3" spans="1:7" ht="21" customHeight="1">
      <c r="A3" s="1"/>
      <c r="B3" s="1"/>
      <c r="C3" s="771"/>
      <c r="D3" s="771"/>
      <c r="E3" s="771"/>
      <c r="F3" s="771"/>
      <c r="G3" s="771"/>
    </row>
    <row r="4" spans="1:7" ht="21" customHeight="1">
      <c r="C4" s="771"/>
      <c r="D4" s="771"/>
      <c r="E4" s="771"/>
      <c r="F4" s="771"/>
      <c r="G4" s="771"/>
    </row>
    <row r="5" spans="1:7" ht="15.75" thickBot="1"/>
    <row r="6" spans="1:7" ht="15.75" thickBot="1">
      <c r="A6" s="120" t="s">
        <v>184</v>
      </c>
      <c r="E6" s="633"/>
      <c r="F6" s="632" t="s">
        <v>681</v>
      </c>
    </row>
    <row r="7" spans="1:7">
      <c r="E7" s="631"/>
    </row>
    <row r="8" spans="1:7">
      <c r="A8" t="s">
        <v>185</v>
      </c>
    </row>
    <row r="9" spans="1:7">
      <c r="B9" s="773"/>
      <c r="C9" s="773"/>
      <c r="D9" s="773"/>
      <c r="E9" s="773"/>
      <c r="F9" s="773"/>
      <c r="G9" s="773"/>
    </row>
    <row r="11" spans="1:7">
      <c r="A11" t="s">
        <v>186</v>
      </c>
    </row>
    <row r="12" spans="1:7">
      <c r="B12" s="774"/>
      <c r="C12" s="774"/>
      <c r="D12" s="774"/>
      <c r="E12" s="774"/>
      <c r="F12" s="774"/>
      <c r="G12" s="774"/>
    </row>
    <row r="14" spans="1:7">
      <c r="A14" t="s">
        <v>187</v>
      </c>
    </row>
    <row r="15" spans="1:7">
      <c r="B15" s="774"/>
      <c r="C15" s="774"/>
      <c r="D15" s="774"/>
      <c r="E15" s="774"/>
      <c r="F15" s="774"/>
      <c r="G15" s="774"/>
    </row>
    <row r="17" spans="1:9">
      <c r="A17" t="s">
        <v>188</v>
      </c>
    </row>
    <row r="18" spans="1:9">
      <c r="B18" s="774"/>
      <c r="C18" s="774"/>
      <c r="D18" s="774"/>
      <c r="E18" s="774"/>
      <c r="F18" s="774"/>
      <c r="G18" s="774"/>
    </row>
    <row r="20" spans="1:9">
      <c r="A20" t="s">
        <v>189</v>
      </c>
    </row>
    <row r="21" spans="1:9">
      <c r="B21" s="602"/>
      <c r="C21" s="121"/>
      <c r="D21" s="121"/>
      <c r="E21" s="121"/>
      <c r="F21" s="121"/>
      <c r="G21" s="121"/>
    </row>
    <row r="23" spans="1:9">
      <c r="A23" t="s">
        <v>190</v>
      </c>
    </row>
    <row r="24" spans="1:9">
      <c r="B24" s="775"/>
      <c r="C24" s="775"/>
      <c r="D24" s="121"/>
      <c r="E24" s="121"/>
      <c r="F24" s="121"/>
      <c r="G24" s="121"/>
    </row>
    <row r="26" spans="1:9" ht="15.75" thickBot="1">
      <c r="A26" t="s">
        <v>191</v>
      </c>
    </row>
    <row r="27" spans="1:9" ht="15.75" thickBot="1">
      <c r="B27" s="776"/>
      <c r="C27" s="777"/>
      <c r="D27" s="122"/>
      <c r="E27" s="122"/>
      <c r="F27" s="122"/>
      <c r="G27" s="122"/>
    </row>
    <row r="28" spans="1:9">
      <c r="A28" t="str">
        <f>IF(ISBLANK(B27),"",IF(B27&lt;&gt;"Entreprise Individuelle","Quel est le montant du capital social ?",""))</f>
        <v/>
      </c>
    </row>
    <row r="29" spans="1:9">
      <c r="B29" s="601"/>
      <c r="C29" t="str">
        <f>IF(ISBLANK(B27),"",IF(B27&lt;&gt;"Entreprise Individuelle","euros",""))</f>
        <v/>
      </c>
    </row>
    <row r="31" spans="1:9" ht="15.75" thickBot="1">
      <c r="A31" t="s">
        <v>192</v>
      </c>
      <c r="I31" s="6"/>
    </row>
    <row r="32" spans="1:9" ht="15.75" thickBot="1">
      <c r="B32" s="776"/>
      <c r="C32" s="777"/>
      <c r="D32" s="5"/>
      <c r="E32" s="5"/>
      <c r="F32" s="5"/>
      <c r="I32" s="123"/>
    </row>
    <row r="33" spans="1:9">
      <c r="I33" s="6"/>
    </row>
    <row r="34" spans="1:9" ht="15.75" thickBot="1">
      <c r="A34" t="str">
        <f>IF(B32&lt;&gt;"Franchise en base de TVA","A quel rythme versez-vous la TVA ? Activez le menu déroulant","")</f>
        <v>A quel rythme versez-vous la TVA ? Activez le menu déroulant</v>
      </c>
    </row>
    <row r="35" spans="1:9" ht="15.75" thickBot="1">
      <c r="B35" s="778"/>
      <c r="C35" s="779"/>
    </row>
    <row r="36" spans="1:9" ht="15.75" thickBot="1">
      <c r="A36" t="str">
        <f>IF(B32&lt;&gt;"Franchise en base de TVA","Taux de TVA sur les ventes ?","")</f>
        <v>Taux de TVA sur les ventes ?</v>
      </c>
      <c r="D36" t="str">
        <f>IF(B32&lt;&gt;"Franchise en base de TVA","sur les achats de matières premières, marchandises ?","")</f>
        <v>sur les achats de matières premières, marchandises ?</v>
      </c>
    </row>
    <row r="37" spans="1:9" ht="15.75" thickBot="1">
      <c r="B37" s="634"/>
      <c r="E37" s="634"/>
    </row>
    <row r="39" spans="1:9">
      <c r="A39" t="s">
        <v>194</v>
      </c>
    </row>
    <row r="40" spans="1:9">
      <c r="B40" s="773"/>
      <c r="C40" s="773"/>
      <c r="D40" s="773"/>
      <c r="E40" s="773"/>
      <c r="F40" s="773"/>
      <c r="G40" s="773"/>
    </row>
    <row r="42" spans="1:9">
      <c r="A42" t="s">
        <v>195</v>
      </c>
    </row>
    <row r="43" spans="1:9">
      <c r="B43" s="780"/>
      <c r="C43" s="780"/>
      <c r="D43" s="5"/>
      <c r="E43" s="5"/>
      <c r="F43" s="5"/>
      <c r="G43" s="5"/>
    </row>
    <row r="45" spans="1:9">
      <c r="A45" t="s">
        <v>196</v>
      </c>
    </row>
    <row r="46" spans="1:9">
      <c r="B46" s="772"/>
      <c r="C46" s="772"/>
      <c r="D46" s="772"/>
      <c r="E46" s="772"/>
      <c r="F46" s="772"/>
      <c r="G46" s="772"/>
    </row>
    <row r="48" spans="1:9">
      <c r="A48" t="s">
        <v>197</v>
      </c>
    </row>
    <row r="49" spans="2:7">
      <c r="B49" s="601"/>
      <c r="C49" s="5"/>
      <c r="D49" s="5"/>
      <c r="E49" s="5"/>
      <c r="F49" s="5"/>
      <c r="G49" s="5"/>
    </row>
  </sheetData>
  <sheetProtection password="CF95" sheet="1" objects="1" scenarios="1"/>
  <mergeCells count="12">
    <mergeCell ref="C2:G4"/>
    <mergeCell ref="B46:G46"/>
    <mergeCell ref="B9:G9"/>
    <mergeCell ref="B12:G12"/>
    <mergeCell ref="B15:G15"/>
    <mergeCell ref="B18:G18"/>
    <mergeCell ref="B24:C24"/>
    <mergeCell ref="B27:C27"/>
    <mergeCell ref="B32:C32"/>
    <mergeCell ref="B35:C35"/>
    <mergeCell ref="B40:G40"/>
    <mergeCell ref="B43:C43"/>
  </mergeCells>
  <pageMargins left="0.23622047244094491" right="0.23622047244094491" top="0.55118110236220474" bottom="0.55118110236220474" header="0.31496062992125984" footer="0.31496062992125984"/>
  <pageSetup paperSize="9" orientation="portrait" horizontalDpi="4294967293" r:id="rId1"/>
  <extLst>
    <ext xmlns:x14="http://schemas.microsoft.com/office/spreadsheetml/2009/9/main" uri="{CCE6A557-97BC-4b89-ADB6-D9C93CAAB3DF}">
      <x14:dataValidations xmlns:xm="http://schemas.microsoft.com/office/excel/2006/main" count="4">
        <x14:dataValidation type="list" showInputMessage="1" showErrorMessage="1">
          <x14:formula1>
            <xm:f>BO!$A$8:$A$11</xm:f>
          </x14:formula1>
          <xm:sqref>E37 B37</xm:sqref>
        </x14:dataValidation>
        <x14:dataValidation type="list" showInputMessage="1" showErrorMessage="1">
          <x14:formula1>
            <xm:f>BO!$D$2:$D$5</xm:f>
          </x14:formula1>
          <xm:sqref>B32:C32</xm:sqref>
        </x14:dataValidation>
        <x14:dataValidation type="list" showInputMessage="1" showErrorMessage="1">
          <x14:formula1>
            <xm:f>BO!$A$2:$A$7</xm:f>
          </x14:formula1>
          <xm:sqref>B27:C27</xm:sqref>
        </x14:dataValidation>
        <x14:dataValidation type="list" showInputMessage="1" showErrorMessage="1">
          <x14:formula1>
            <xm:f>BO!$C$8:$C$11</xm:f>
          </x14:formula1>
          <xm:sqref>B35:C35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D161"/>
  <sheetViews>
    <sheetView topLeftCell="A16" zoomScaleNormal="100" workbookViewId="0">
      <selection activeCell="G67" sqref="G67"/>
    </sheetView>
  </sheetViews>
  <sheetFormatPr baseColWidth="10" defaultRowHeight="15"/>
  <cols>
    <col min="2" max="2" width="9.28515625" customWidth="1"/>
    <col min="3" max="3" width="9.42578125" customWidth="1"/>
    <col min="4" max="4" width="9.5703125" customWidth="1"/>
    <col min="5" max="5" width="9.140625" customWidth="1"/>
    <col min="6" max="6" width="9.42578125" customWidth="1"/>
    <col min="7" max="8" width="9.140625" customWidth="1"/>
    <col min="9" max="9" width="8.85546875" customWidth="1"/>
    <col min="10" max="10" width="7.5703125" customWidth="1"/>
    <col min="12" max="12" width="9" customWidth="1"/>
  </cols>
  <sheetData>
    <row r="1" spans="1:30">
      <c r="A1" s="13" t="s">
        <v>444</v>
      </c>
      <c r="B1" s="172"/>
      <c r="C1" s="19"/>
      <c r="D1" s="330" t="s">
        <v>489</v>
      </c>
      <c r="E1" s="19"/>
      <c r="F1" s="190">
        <f>Paramètres!C7</f>
        <v>1.4999999999999999E-2</v>
      </c>
      <c r="G1" s="19"/>
      <c r="H1" s="19"/>
      <c r="I1" s="19"/>
      <c r="J1" s="19"/>
      <c r="K1" s="19"/>
      <c r="L1" s="19"/>
      <c r="M1" s="19"/>
      <c r="N1" s="19"/>
      <c r="O1" s="19"/>
      <c r="P1" s="19"/>
      <c r="Q1" s="19"/>
      <c r="R1" s="19"/>
      <c r="S1" s="19"/>
      <c r="T1" s="19"/>
      <c r="U1" s="19"/>
      <c r="V1" s="19"/>
      <c r="W1" s="19"/>
      <c r="X1" s="19"/>
      <c r="Y1" s="19"/>
      <c r="Z1" s="19"/>
      <c r="AA1" s="19"/>
      <c r="AB1" s="19"/>
      <c r="AC1" s="19"/>
      <c r="AD1" s="19"/>
    </row>
    <row r="2" spans="1:30">
      <c r="A2" s="19"/>
      <c r="B2" s="316"/>
      <c r="C2" s="316"/>
      <c r="D2" s="19"/>
      <c r="E2" s="19"/>
      <c r="F2" s="19"/>
      <c r="G2" s="19"/>
      <c r="H2" s="19"/>
      <c r="I2" s="19"/>
      <c r="J2" s="19"/>
      <c r="K2" s="19"/>
      <c r="L2" s="19" t="s">
        <v>458</v>
      </c>
      <c r="M2" s="19"/>
      <c r="N2" s="317">
        <f>'CACh prévi'!B10</f>
        <v>0</v>
      </c>
      <c r="O2" s="19"/>
      <c r="P2" s="19"/>
      <c r="Q2" s="256" t="s">
        <v>459</v>
      </c>
      <c r="R2" s="19"/>
      <c r="S2" s="19"/>
      <c r="U2" s="19"/>
      <c r="V2" s="19"/>
      <c r="W2" s="19"/>
      <c r="X2" s="19"/>
      <c r="Y2" s="19"/>
      <c r="Z2" s="19"/>
      <c r="AA2" s="19"/>
      <c r="AB2" s="19"/>
      <c r="AC2" s="19"/>
      <c r="AD2" s="19"/>
    </row>
    <row r="3" spans="1:30">
      <c r="A3" s="19"/>
      <c r="B3" s="75" t="s">
        <v>406</v>
      </c>
      <c r="C3" s="75" t="s">
        <v>407</v>
      </c>
      <c r="D3" s="75" t="s">
        <v>408</v>
      </c>
      <c r="E3" s="75" t="s">
        <v>409</v>
      </c>
      <c r="F3" s="75" t="s">
        <v>410</v>
      </c>
      <c r="G3" s="75" t="s">
        <v>411</v>
      </c>
      <c r="H3" s="75" t="s">
        <v>412</v>
      </c>
      <c r="I3" s="75" t="s">
        <v>413</v>
      </c>
      <c r="J3" s="19"/>
      <c r="K3" s="20" t="s">
        <v>558</v>
      </c>
      <c r="L3" s="334"/>
      <c r="M3" s="132"/>
      <c r="N3" s="135" t="s">
        <v>559</v>
      </c>
      <c r="O3" s="132"/>
      <c r="Q3" s="630">
        <f>EDATE(N$2,4)</f>
        <v>121</v>
      </c>
      <c r="R3" s="630">
        <f>EDATE(N$2,48)</f>
        <v>1461</v>
      </c>
      <c r="S3" s="19"/>
      <c r="U3" s="19"/>
      <c r="V3" s="19"/>
      <c r="W3" s="19"/>
      <c r="X3" s="19"/>
      <c r="Y3" s="19"/>
      <c r="Z3" s="19"/>
      <c r="AA3" s="19"/>
      <c r="AB3" s="19"/>
      <c r="AC3" s="19"/>
      <c r="AD3" s="19"/>
    </row>
    <row r="4" spans="1:30">
      <c r="A4" s="141" t="s">
        <v>535</v>
      </c>
      <c r="B4" s="141">
        <f>SUMIF(M4:M6,"&lt;=4",Fin!B55:B57)</f>
        <v>0</v>
      </c>
      <c r="C4" s="141">
        <f>SUMIF($M$4:$M$6,"&lt;=12",Fin!B55:B57)-B4</f>
        <v>0</v>
      </c>
      <c r="D4" s="141">
        <f>SUMIF($M$4:$M$6,"&lt;=24",Fin!B55:B57)-C4-B4</f>
        <v>0</v>
      </c>
      <c r="E4" s="141">
        <f>SUMIF($M$4:$M$6,"&lt;36",Fin!B55:B57)-D4-C4-B4</f>
        <v>0</v>
      </c>
      <c r="F4" s="141">
        <f>SUMIF($M$4:$M$6,"&lt;48",Fin!B55:B57)-E4-D4-C4-B4</f>
        <v>0</v>
      </c>
      <c r="G4" s="141">
        <f>SUMIF($M$4:$M$6,"&lt;60",Fin!B55:B57)-F4-E4-D4-C4-B4</f>
        <v>0</v>
      </c>
      <c r="H4" s="141">
        <f>SUMIF($M$4:$M$6,"&lt;72",Fin!B55:B57)-G4-F4-E4-D4-C4-B4</f>
        <v>0</v>
      </c>
      <c r="I4" s="141">
        <f>SUMIF($M$4:$M$6,"&lt;84",Fin!B55:B57)-H4-G4-F4-E4-D4-C4-B4</f>
        <v>0</v>
      </c>
      <c r="J4" s="19"/>
      <c r="K4" s="141" t="s">
        <v>316</v>
      </c>
      <c r="L4" s="335"/>
      <c r="M4" s="132">
        <f>IFERROR(DATEDIF(N2,Fin!E55,"m"),0)</f>
        <v>0</v>
      </c>
      <c r="N4" s="131">
        <f>Fin!D55+M4</f>
        <v>0</v>
      </c>
      <c r="O4" s="336"/>
      <c r="Q4" s="630">
        <f>EDATE(N$2,12)</f>
        <v>366</v>
      </c>
      <c r="R4" s="630">
        <f>EDATE(N$2,60)</f>
        <v>1827</v>
      </c>
      <c r="S4" s="19"/>
      <c r="U4" s="19"/>
      <c r="V4" s="19"/>
      <c r="W4" s="19"/>
      <c r="X4" s="19"/>
      <c r="Y4" s="19"/>
      <c r="Z4" s="19"/>
      <c r="AA4" s="19"/>
      <c r="AB4" s="19"/>
      <c r="AC4" s="19"/>
      <c r="AD4" s="19"/>
    </row>
    <row r="5" spans="1:30">
      <c r="A5" s="141" t="s">
        <v>460</v>
      </c>
      <c r="B5" s="276">
        <f>IF(Fin!E55&gt;Q3,0,SUMIF('Emprunt 1'!B18:B101,"&lt;"&amp;Q3,'Emprunt 1'!E18:E101))+IF(Fin!E56&gt;Q3,0,SUMIF('Emprunt 2'!B18:B101,"&lt;"&amp;Q3,'Emprunt 2'!E18:E101))+IF(Fin!E57&gt;Q3,0,SUMIF('Emprunt 3'!B18:B101,"&lt;"&amp;Q3,'Emprunt 3'!E18:E101))</f>
        <v>0</v>
      </c>
      <c r="C5" s="276">
        <f>IF(Fin!E55&gt;Q4,0,SUMIF('Emprunt 1'!B18:B101,"&lt;"&amp;Q4,'Emprunt 1'!E18:E101))+IF(Fin!E56&gt;Q4,0,SUMIF('Emprunt 2'!B18:B101,"&lt;"&amp;Q4,'Emprunt 2'!E18:E101))+IF(Fin!E57&gt;Q4,0,SUMIF('Emprunt 3'!B18:B101,"&lt;"&amp;Q4,'Emprunt 3'!E18:E101))-B5</f>
        <v>0</v>
      </c>
      <c r="D5" s="276">
        <f>IF(Fin!E55&gt;Q5,0,SUMIF('Emprunt 1'!B18:B101,"&lt;"&amp;Q5,'Emprunt 1'!E18:E101))+IF(Fin!E56&gt;Q5,0,SUMIF('Emprunt 2'!B18:B101,"&lt;"&amp;Q5,'Emprunt 2'!E18:E101))+IF(Fin!E57&gt;Q5,0,SUMIF('Emprunt 3'!B18:B101,"&lt;"&amp;Q5,'Emprunt 3'!E18:E101))-C5-B5</f>
        <v>0</v>
      </c>
      <c r="E5" s="276">
        <f>IF(Fin!E55&gt;Q6,0,SUMIF('Emprunt 1'!B18:B101,"&lt;"&amp;Q6,'Emprunt 1'!E18:E101))+IF(Fin!E56&gt;Q6,0,SUMIF('Emprunt 2'!B18:B101,"&lt;"&amp;Q6,'Emprunt 2'!E18:E101))+IF(Fin!E57&gt;Q6,0,SUMIF('Emprunt 3'!B18:B101,"&lt;"&amp;Q6,'Emprunt 3'!E18:E101))-D5-C5-B5</f>
        <v>0</v>
      </c>
      <c r="F5" s="276">
        <f>IF(Fin!E55&gt;R3,0,SUMIF('Emprunt 1'!B18:B101,"&lt;"&amp;R3,'Emprunt 1'!E18:E101))+IF(Fin!E56&gt;R3,0,SUMIF('Emprunt 2'!B18:B101,"&lt;"&amp;R3,'Emprunt 2'!E18:E101))+IF(Fin!E57&gt;R3,0,SUMIF('Emprunt 3'!B18:B101,"&lt;"&amp;R3,'Emprunt 3'!E18:E101))-E5-D5-C5-B5</f>
        <v>0</v>
      </c>
      <c r="G5" s="276">
        <f>IF(Fin!E55&gt;R4,0,SUMIF('Emprunt 1'!B18:B101,"&lt;"&amp;R4,'Emprunt 1'!E18:E101))+IF(Fin!E56&gt;R4,0,SUMIF('Emprunt 2'!B18:B101,"&lt;"&amp;R4,'Emprunt 2'!E18:E101))+IF(Fin!E57&gt;R4,0,SUMIF('Emprunt 3'!B18:B101,"&lt;"&amp;R4,'Emprunt 3'!E18:E101))-F5-E5-D5-C5-B5</f>
        <v>0</v>
      </c>
      <c r="H5" s="276">
        <f>IF(Fin!E55&gt;R5,0,SUMIF('Emprunt 1'!B18:B101,"&lt;"&amp;R5,'Emprunt 1'!E18:E101))+IF(Fin!E56&gt;R5,0,SUMIF('Emprunt 2'!B18:B101,"&lt;"&amp;R5,'Emprunt 2'!E18:E101))+IF(Fin!E57&gt;R5,0,SUMIF('Emprunt 3'!B18:B101,"&lt;"&amp;R5,'Emprunt 3'!E18:E101))-G5-F5-E5-C5-D5-B5</f>
        <v>0</v>
      </c>
      <c r="I5" s="276">
        <f>IF(Fin!E55&gt;R6,0,SUMIF('Emprunt 1'!B18:B101,"&lt;"&amp;R6,'Emprunt 1'!E18:E101))+IF(Fin!E56&gt;R6,0,SUMIF('Emprunt 2'!B18:B101,"&lt;"&amp;R6,'Emprunt 2'!E18:E101))+IF(Fin!E57&gt;R6,0,SUMIF('Emprunt 3'!B18:B101,"&lt;"&amp;R6,'Emprunt 3'!E18:E101))-H5-G5-F5-E5-D5-C5-B5</f>
        <v>0</v>
      </c>
      <c r="J5" s="19"/>
      <c r="K5" s="141" t="s">
        <v>317</v>
      </c>
      <c r="L5" s="335"/>
      <c r="M5" s="132">
        <f>IFERROR(DATEDIF(N$2,Fin!E56,"m"),0)</f>
        <v>0</v>
      </c>
      <c r="N5" s="80">
        <f>Fin!D56+M5</f>
        <v>0</v>
      </c>
      <c r="O5" s="337"/>
      <c r="Q5" s="630">
        <f>EDATE(N$2,24)</f>
        <v>731</v>
      </c>
      <c r="R5" s="630">
        <f>EDATE(N$2,72)</f>
        <v>2192</v>
      </c>
      <c r="S5" s="19"/>
      <c r="U5" s="19"/>
      <c r="V5" s="19"/>
      <c r="W5" s="19"/>
      <c r="X5" s="19"/>
      <c r="Y5" s="19"/>
      <c r="Z5" s="19"/>
      <c r="AA5" s="19"/>
      <c r="AB5" s="19"/>
      <c r="AC5" s="19"/>
      <c r="AD5" s="19"/>
    </row>
    <row r="6" spans="1:30">
      <c r="A6" s="141" t="s">
        <v>16</v>
      </c>
      <c r="B6" s="276">
        <f>IF(Fin!E55&gt;Q3,0,SUMIF('Emprunt 1'!B18:B101,"&lt;"&amp;Q3,'Emprunt 1'!D18:D101))+IF(Fin!E56&gt;Q3,0,SUMIF('Emprunt 2'!B18:B101,"&lt;"&amp;Q3,'Emprunt 2'!D18:D101))+IF(Fin!E57&gt;Q3,0,SUMIF('Emprunt 3'!B18:B101,"&lt;"&amp;Q3,'Emprunt 3'!D18:D101))</f>
        <v>0</v>
      </c>
      <c r="C6" s="276">
        <f>IF(Fin!E55&gt;Q4,0,SUMIF('Emprunt 1'!B18:B101,"&lt;"&amp;Q4,'Emprunt 1'!D18:D101))+IF(Fin!E56&gt;Q4,0,SUMIF('Emprunt 2'!B18:B101,"&lt;"&amp;Q4,'Emprunt 2'!D18:D101))+IF(Fin!E57&gt;Q4,0,SUMIF('Emprunt 3'!B18:B101,"&lt;"&amp;Q4,'Emprunt 3'!D18:D101))-B6</f>
        <v>0</v>
      </c>
      <c r="D6" s="276">
        <f>IF(Fin!E55&gt;Q5,0,SUMIF('Emprunt 1'!B18:B101,"&lt;"&amp;Q5,'Emprunt 1'!D18:D101))+IF(Fin!E56&gt;Q5,0,SUMIF('Emprunt 2'!B18:B101,"&lt;"&amp;Q5,'Emprunt 2'!D18:D101))+IF(Fin!E57&gt;Q5,0,SUMIF('Emprunt 3'!B18:B101,"&lt;"&amp;Q5,'Emprunt 3'!D18:D101))-C6-B6</f>
        <v>0</v>
      </c>
      <c r="E6" s="276">
        <f>IF(Fin!E55&gt;Q6,0,SUMIF('Emprunt 1'!B18:B101,"&lt;"&amp;Q6,'Emprunt 1'!D18:D101))+IF(Fin!E56&gt;Q6,0,SUMIF('Emprunt 2'!B18:B101,"&lt;"&amp;Q6,'Emprunt 2'!D18:D101))+IF(Fin!E57&gt;Q6,0,SUMIF('Emprunt 3'!B18:B101,"&lt;"&amp;Q6,'Emprunt 3'!D18:D101))-D6-C6-B6</f>
        <v>0</v>
      </c>
      <c r="F6" s="276">
        <f>IF(Fin!E55&gt;R3,0,SUMIF('Emprunt 1'!B18:B101,"&lt;"&amp;R3,'Emprunt 1'!D18:D101))+IF(Fin!E56&gt;R3,0,SUMIF('Emprunt 2'!B18:B101,"&lt;"&amp;R3,'Emprunt 2'!D18:D101))+IF(Fin!E57&gt;R3,0,SUMIF('Emprunt 3'!B18:B101,"&lt;"&amp;R3,'Emprunt 3'!D18:D101))-E6-D6-C6-B6</f>
        <v>0</v>
      </c>
      <c r="G6" s="276">
        <f>IF(Fin!E55&gt;R4,0,SUMIF('Emprunt 1'!B18:B101,"&lt;"&amp;R4,'Emprunt 1'!D18:D101))+IF(Fin!E56&gt;R4,0,SUMIF('Emprunt 2'!B18:B101,"&lt;"&amp;R4,'Emprunt 2'!D18:D101))+IF(Fin!E57&gt;R4,0,SUMIF('Emprunt 3'!B18:B101,"&lt;"&amp;R4,'Emprunt 3'!D18:D101))-F6-E6-D6-C6-B6</f>
        <v>0</v>
      </c>
      <c r="H6" s="276">
        <f>IF(Fin!E55&gt;R5,0,SUMIF('Emprunt 1'!B18:B101,"&lt;"&amp;R5,'Emprunt 1'!D18:D101))+IF(Fin!E56&gt;R5,0,SUMIF('Emprunt 2'!B18:B101,"&lt;"&amp;R5,'Emprunt 2'!D18:D101))+IF(Fin!E57&gt;R5,0,SUMIF('Emprunt 3'!B18:B101,"&lt;"&amp;R5,'Emprunt 3'!D18:D101))-G6-F6-E6-D6-C6-B6</f>
        <v>0</v>
      </c>
      <c r="I6" s="276">
        <f>IF(Fin!E55&gt;R6,0,SUMIF('Emprunt 1'!B18:B101,"&lt;"&amp;R6,'Emprunt 1'!D18:D101))+IF(Fin!E56&gt;R6,0,SUMIF('Emprunt 2'!B18:B101,"&lt;"&amp;R6,'Emprunt 2'!D18:D101))+IF(Fin!E57&gt;R6,0,SUMIF('Emprunt 3'!B18:B101,"&lt;"&amp;R6,'Emprunt 3'!D18:D101))-H6-G6-F6-E6-D6-C6-B6</f>
        <v>0</v>
      </c>
      <c r="J6" s="19"/>
      <c r="K6" s="141" t="s">
        <v>318</v>
      </c>
      <c r="L6" s="335"/>
      <c r="M6" s="132">
        <f>IFERROR(DATEDIF(N$2,Fin!E57,"m"),0)</f>
        <v>0</v>
      </c>
      <c r="N6" s="131">
        <f>Fin!D57+M6</f>
        <v>0</v>
      </c>
      <c r="O6" s="336"/>
      <c r="Q6" s="630">
        <f>EDATE(N$2,36)</f>
        <v>1096</v>
      </c>
      <c r="R6" s="630">
        <f>EDATE(N$2,84)</f>
        <v>2557</v>
      </c>
      <c r="S6" s="19"/>
      <c r="U6" s="19"/>
      <c r="V6" s="19"/>
      <c r="W6" s="19"/>
      <c r="X6" s="19"/>
      <c r="Y6" s="19"/>
      <c r="Z6" s="19"/>
      <c r="AA6" s="19"/>
      <c r="AB6" s="19"/>
      <c r="AC6" s="19"/>
      <c r="AD6" s="19"/>
    </row>
    <row r="7" spans="1:30">
      <c r="A7" s="141" t="s">
        <v>462</v>
      </c>
      <c r="B7" s="276">
        <f>B4-B5-B6</f>
        <v>0</v>
      </c>
      <c r="C7" s="276">
        <f t="shared" ref="C7:I7" si="0">C4-C5-C6</f>
        <v>0</v>
      </c>
      <c r="D7" s="276">
        <f t="shared" si="0"/>
        <v>0</v>
      </c>
      <c r="E7" s="276">
        <f t="shared" si="0"/>
        <v>0</v>
      </c>
      <c r="F7" s="276">
        <f t="shared" si="0"/>
        <v>0</v>
      </c>
      <c r="G7" s="276">
        <f t="shared" si="0"/>
        <v>0</v>
      </c>
      <c r="H7" s="276">
        <f t="shared" si="0"/>
        <v>0</v>
      </c>
      <c r="I7" s="276">
        <f t="shared" si="0"/>
        <v>0</v>
      </c>
      <c r="J7" s="19"/>
      <c r="K7" s="19"/>
      <c r="L7" s="29"/>
      <c r="M7" s="28"/>
      <c r="N7" s="28"/>
      <c r="O7" s="28"/>
      <c r="R7" s="28"/>
      <c r="S7" s="19"/>
      <c r="U7" s="19"/>
      <c r="V7" s="19"/>
      <c r="W7" s="19"/>
      <c r="X7" s="19"/>
      <c r="Y7" s="19"/>
      <c r="Z7" s="19"/>
      <c r="AA7" s="19"/>
      <c r="AB7" s="19"/>
      <c r="AC7" s="19"/>
      <c r="AD7" s="19"/>
    </row>
    <row r="8" spans="1:30">
      <c r="A8" s="141" t="s">
        <v>463</v>
      </c>
      <c r="B8" s="276">
        <f>B7</f>
        <v>0</v>
      </c>
      <c r="C8" s="276">
        <f>C7*(1+$F1)^(-1)</f>
        <v>0</v>
      </c>
      <c r="D8" s="276">
        <f>D7*(1+$F1)^(-2)</f>
        <v>0</v>
      </c>
      <c r="E8" s="276">
        <f>E7*(1+$F1)^(-3)</f>
        <v>0</v>
      </c>
      <c r="F8" s="276">
        <f>F7*(1+$F1)^(-4)</f>
        <v>0</v>
      </c>
      <c r="G8" s="276">
        <f>G7*(1+$F1)^(-5)</f>
        <v>0</v>
      </c>
      <c r="H8" s="276">
        <f>H7*(1+$F1)^(-6)</f>
        <v>0</v>
      </c>
      <c r="I8" s="276">
        <f>I7*(1+$F1)^(-7)</f>
        <v>0</v>
      </c>
      <c r="J8" s="19"/>
      <c r="K8" s="19"/>
      <c r="L8" s="19"/>
      <c r="M8" s="19"/>
      <c r="N8" s="19"/>
      <c r="O8" s="19"/>
      <c r="R8" s="19"/>
      <c r="S8" s="19"/>
      <c r="U8" s="19"/>
      <c r="V8" s="19"/>
      <c r="W8" s="19"/>
      <c r="X8" s="19"/>
      <c r="Y8" s="19"/>
      <c r="Z8" s="19"/>
      <c r="AA8" s="19"/>
      <c r="AB8" s="19"/>
      <c r="AC8" s="19"/>
      <c r="AD8" s="19"/>
    </row>
    <row r="9" spans="1:30">
      <c r="A9" s="318" t="s">
        <v>536</v>
      </c>
      <c r="B9" s="19"/>
      <c r="C9" s="19"/>
      <c r="D9" s="19"/>
      <c r="E9" s="19"/>
      <c r="F9" s="19"/>
      <c r="G9" s="19"/>
      <c r="H9" s="19"/>
      <c r="I9" s="19"/>
      <c r="J9" s="19"/>
      <c r="K9" s="19"/>
      <c r="L9" s="19"/>
      <c r="M9" s="19"/>
      <c r="N9" s="19"/>
      <c r="O9" s="317"/>
      <c r="R9" s="19"/>
      <c r="S9" s="19"/>
      <c r="T9" s="317"/>
      <c r="U9" s="19"/>
      <c r="V9" s="19"/>
      <c r="W9" s="19"/>
      <c r="X9" s="19"/>
      <c r="Y9" s="19"/>
      <c r="Z9" s="19"/>
      <c r="AA9" s="19"/>
      <c r="AB9" s="19"/>
      <c r="AC9" s="19"/>
      <c r="AD9" s="19"/>
    </row>
    <row r="10" spans="1:30">
      <c r="A10" s="331" t="s">
        <v>464</v>
      </c>
      <c r="B10" s="19"/>
      <c r="C10" s="19"/>
      <c r="D10" s="19"/>
      <c r="E10" s="19"/>
      <c r="F10" s="19"/>
      <c r="G10" s="19"/>
      <c r="H10" s="19"/>
      <c r="I10" s="19"/>
      <c r="J10" s="19"/>
      <c r="K10" s="19"/>
      <c r="L10" s="452" t="s">
        <v>555</v>
      </c>
      <c r="M10" s="453"/>
      <c r="N10" s="453">
        <f>IF(N13+N14=0,0,IF(OR(N13=0,N14=0),1,2))</f>
        <v>0</v>
      </c>
      <c r="O10" s="454"/>
      <c r="P10" s="19"/>
      <c r="Q10" s="452" t="s">
        <v>560</v>
      </c>
      <c r="R10" s="453"/>
      <c r="S10" s="453">
        <f>2-N10</f>
        <v>2</v>
      </c>
      <c r="T10" s="454"/>
      <c r="U10" s="19"/>
      <c r="V10" s="19"/>
      <c r="W10" s="19"/>
      <c r="X10" s="19"/>
      <c r="Y10" s="19"/>
      <c r="Z10" s="19"/>
      <c r="AA10" s="19"/>
      <c r="AB10" s="19"/>
      <c r="AC10" s="19"/>
      <c r="AD10" s="19"/>
    </row>
    <row r="11" spans="1:30">
      <c r="A11" s="410" t="s">
        <v>465</v>
      </c>
      <c r="B11" s="411">
        <f>SUM(B8:I8)</f>
        <v>0</v>
      </c>
      <c r="C11" s="19"/>
      <c r="D11" s="19"/>
      <c r="E11" s="19"/>
      <c r="F11" s="19"/>
      <c r="G11" s="19"/>
      <c r="H11" s="19"/>
      <c r="I11" s="19"/>
      <c r="J11" s="19"/>
      <c r="K11" s="19"/>
      <c r="L11" s="455" t="s">
        <v>556</v>
      </c>
      <c r="M11" s="456"/>
      <c r="N11" s="456">
        <f>IF(N13=0,0,L13)</f>
        <v>0</v>
      </c>
      <c r="O11" s="457">
        <f>IF(N14=0,0,L14)</f>
        <v>0</v>
      </c>
      <c r="P11" s="19"/>
      <c r="Q11" s="455" t="s">
        <v>561</v>
      </c>
      <c r="R11" s="456"/>
      <c r="S11" s="456" t="str">
        <f>IF(N11=0,L13,0)</f>
        <v/>
      </c>
      <c r="T11" s="457">
        <f>IF(O11=0,O11,0)</f>
        <v>0</v>
      </c>
      <c r="U11" s="19"/>
      <c r="V11" s="19"/>
      <c r="W11" s="19"/>
      <c r="X11" s="19"/>
      <c r="Y11" s="19"/>
      <c r="Z11" s="19"/>
      <c r="AA11" s="19"/>
      <c r="AB11" s="19"/>
      <c r="AC11" s="19"/>
      <c r="AD11" s="19"/>
    </row>
    <row r="12" spans="1:30">
      <c r="A12" s="256"/>
      <c r="B12" s="19"/>
      <c r="C12" s="19"/>
      <c r="D12" s="19"/>
      <c r="E12" s="19"/>
      <c r="F12" s="201"/>
      <c r="G12" s="19"/>
      <c r="H12" s="19"/>
      <c r="I12" s="19"/>
      <c r="J12" s="19"/>
      <c r="K12" s="588" t="s">
        <v>461</v>
      </c>
      <c r="L12" s="503" t="s">
        <v>467</v>
      </c>
      <c r="M12" s="590" t="s">
        <v>225</v>
      </c>
      <c r="N12" s="588" t="s">
        <v>562</v>
      </c>
      <c r="O12" s="588" t="s">
        <v>468</v>
      </c>
      <c r="P12" s="588" t="s">
        <v>469</v>
      </c>
      <c r="Q12" s="588" t="s">
        <v>470</v>
      </c>
      <c r="R12" s="588" t="s">
        <v>471</v>
      </c>
      <c r="S12" s="588" t="s">
        <v>472</v>
      </c>
      <c r="T12" s="588" t="s">
        <v>473</v>
      </c>
      <c r="U12" s="587" t="s">
        <v>474</v>
      </c>
      <c r="V12" s="19"/>
      <c r="W12" s="19"/>
      <c r="X12" s="19"/>
      <c r="Y12" s="19"/>
      <c r="Z12" s="19"/>
      <c r="AA12" s="19"/>
      <c r="AB12" s="19"/>
      <c r="AC12" s="19"/>
      <c r="AD12" s="19"/>
    </row>
    <row r="13" spans="1:30">
      <c r="A13" s="19"/>
      <c r="B13" s="19"/>
      <c r="C13" s="19"/>
      <c r="D13" s="19"/>
      <c r="E13" s="19"/>
      <c r="F13" s="19"/>
      <c r="G13" s="19"/>
      <c r="H13" s="19"/>
      <c r="I13" s="19"/>
      <c r="J13" s="19"/>
      <c r="K13" s="404">
        <f>DATEDIF(N$2,O13,"m")</f>
        <v>0</v>
      </c>
      <c r="L13" s="134" t="str">
        <f>BO!A22</f>
        <v/>
      </c>
      <c r="M13" s="10">
        <f>IFERROR(HLOOKUP(L13,'CACh prévi'!C23:G24,2,FALSE),0)</f>
        <v>0</v>
      </c>
      <c r="N13" s="404">
        <f>IF(OR(Fin!D59="Oui pour "&amp;BO!A22,Fin!D59="Oui pour les 2"),'BO Cout Fin'!M13,0)</f>
        <v>0</v>
      </c>
      <c r="O13" s="319">
        <f>IF(HLOOKUP($L13,'CACh prévi'!C31:G37,2,FALSE)=0,'CACh prévi'!B10,HLOOKUP($L13,'CACh prévi'!C31:G37,2,FALSE))</f>
        <v>0</v>
      </c>
      <c r="P13" s="276">
        <f>HLOOKUP($L13,'CACh prévi'!C31:G37,3,FALSE)</f>
        <v>0</v>
      </c>
      <c r="Q13" s="276">
        <f>IF(N13=0,0,HLOOKUP($L13,'CACh prévi'!C31:G37,4,FALSE))</f>
        <v>0</v>
      </c>
      <c r="R13" s="276">
        <f>IF(N13=0,0,HLOOKUP($L13,'CACh prévi'!C31:G37,5,FALSE))</f>
        <v>0</v>
      </c>
      <c r="S13" s="276">
        <f>IF(N13=0,0,HLOOKUP($L13,'CACh prévi'!C31:G37,6,FALSE))</f>
        <v>0</v>
      </c>
      <c r="T13" s="276">
        <f>IF(N13=0,0,HLOOKUP($L13,'CACh prévi'!C31:G37,7,FALSE))</f>
        <v>0</v>
      </c>
      <c r="U13" s="276">
        <f>P13+K13</f>
        <v>0</v>
      </c>
      <c r="V13" s="19"/>
      <c r="W13" s="19"/>
      <c r="X13" s="19"/>
      <c r="Y13" s="19"/>
      <c r="Z13" s="19"/>
      <c r="AA13" s="19"/>
      <c r="AB13" s="19"/>
      <c r="AC13" s="19"/>
      <c r="AD13" s="19"/>
    </row>
    <row r="14" spans="1:30">
      <c r="A14" s="13" t="s">
        <v>466</v>
      </c>
      <c r="B14" s="13"/>
      <c r="C14" s="19"/>
      <c r="D14" s="19"/>
      <c r="E14" s="19"/>
      <c r="F14" s="19"/>
      <c r="G14" s="19"/>
      <c r="H14" s="19"/>
      <c r="I14" s="19"/>
      <c r="J14" s="19"/>
      <c r="K14" s="404">
        <f>DATEDIF(N$2,O14,"m")</f>
        <v>0</v>
      </c>
      <c r="L14" s="134" t="str">
        <f>BO!A23</f>
        <v/>
      </c>
      <c r="M14" s="10">
        <f>IFERROR(HLOOKUP(L14,'CACh prévi'!C23:G24,2,FALSE),0)</f>
        <v>0</v>
      </c>
      <c r="N14" s="404">
        <f>IF(OR(Fin!D59="Oui pour "&amp;BO!A23,Fin!D59="Oui pour les 2"),'BO Cout Fin'!M14,0)</f>
        <v>0</v>
      </c>
      <c r="O14" s="319">
        <f>IF(HLOOKUP($L13,'CACh prévi'!C31:G37,2,FALSE)=0,'CACh prévi'!B10,HLOOKUP($L14,'CACh prévi'!C31:G37,2,FALSE))</f>
        <v>0</v>
      </c>
      <c r="P14" s="276">
        <f>IF(L13=L14,0,HLOOKUP($L14,'CACh prévi'!C31:G37,3,FALSE))</f>
        <v>0</v>
      </c>
      <c r="Q14" s="276">
        <f>IF(N14=0,0,IF(L13=L14,0,HLOOKUP($L14,'CACh prévi'!C31:G37,4,FALSE)))</f>
        <v>0</v>
      </c>
      <c r="R14" s="276">
        <f>IF(N14=0,0,IF(L13=L14,0,HLOOKUP($L14,'CACh prévi'!C31:G37,5,FALSE)))</f>
        <v>0</v>
      </c>
      <c r="S14" s="276">
        <f>IF(N14=0,0,IF(L13=M1:M14,0,HLOOKUP($L14,'CACh prévi'!C31:G37,6,FALSE)))</f>
        <v>0</v>
      </c>
      <c r="T14" s="276">
        <f>IF(N14=0,0,IF(L13=L14,0,HLOOKUP($L14,'CACh prévi'!C31:G37,7,FALSE)))</f>
        <v>0</v>
      </c>
      <c r="U14" s="276">
        <f>P14+K14</f>
        <v>0</v>
      </c>
      <c r="V14" s="19"/>
      <c r="W14" s="19"/>
      <c r="X14" s="19"/>
      <c r="Y14" s="19"/>
      <c r="Z14" s="19"/>
      <c r="AA14" s="19"/>
      <c r="AB14" s="19"/>
      <c r="AC14" s="19"/>
    </row>
    <row r="15" spans="1:30">
      <c r="A15" s="19"/>
      <c r="B15" s="19"/>
      <c r="C15" s="19"/>
      <c r="D15" s="19"/>
      <c r="E15" s="19"/>
      <c r="F15" s="19"/>
      <c r="G15" s="19"/>
      <c r="H15" s="19"/>
      <c r="I15" s="19"/>
      <c r="J15" s="19"/>
      <c r="V15" s="19"/>
      <c r="W15" s="19"/>
      <c r="X15" s="19"/>
      <c r="Y15" s="19"/>
      <c r="Z15" s="19"/>
      <c r="AA15" s="19"/>
      <c r="AB15" s="19"/>
      <c r="AC15" s="19"/>
    </row>
    <row r="16" spans="1:30">
      <c r="A16" s="329" t="s">
        <v>537</v>
      </c>
      <c r="B16" s="75" t="str">
        <f t="shared" ref="B16:I16" si="1">B3</f>
        <v>Début An1</v>
      </c>
      <c r="C16" s="75" t="str">
        <f t="shared" si="1"/>
        <v>Fin An1</v>
      </c>
      <c r="D16" s="75" t="str">
        <f t="shared" si="1"/>
        <v>Fin An2</v>
      </c>
      <c r="E16" s="75" t="str">
        <f t="shared" si="1"/>
        <v>Fin An3</v>
      </c>
      <c r="F16" s="75" t="str">
        <f t="shared" si="1"/>
        <v>Fin An4</v>
      </c>
      <c r="G16" s="75" t="str">
        <f t="shared" si="1"/>
        <v>Fin An5</v>
      </c>
      <c r="H16" s="75" t="str">
        <f t="shared" si="1"/>
        <v>Fin An6</v>
      </c>
      <c r="I16" s="75" t="str">
        <f t="shared" si="1"/>
        <v>Fin An7</v>
      </c>
      <c r="J16" s="19"/>
      <c r="K16" s="19"/>
      <c r="L16" s="13" t="s">
        <v>538</v>
      </c>
      <c r="M16" s="13"/>
      <c r="N16" s="13"/>
      <c r="O16" s="13"/>
      <c r="P16" s="172"/>
      <c r="Q16" s="172"/>
      <c r="R16" s="19"/>
      <c r="S16" s="19"/>
      <c r="T16" s="19"/>
      <c r="U16" s="19"/>
      <c r="V16" s="19"/>
      <c r="W16" s="19"/>
      <c r="X16" s="19"/>
      <c r="Y16" s="19"/>
      <c r="Z16" s="19"/>
      <c r="AA16" s="19"/>
      <c r="AB16" s="19"/>
      <c r="AC16" s="19"/>
    </row>
    <row r="17" spans="1:30">
      <c r="A17" s="141" t="s">
        <v>222</v>
      </c>
      <c r="B17" s="141">
        <f>SUMIF(K$13:K$14,"&lt;4",N$13:N$14)</f>
        <v>0</v>
      </c>
      <c r="C17" s="141">
        <f>SUMIF($K13:$K14,"&lt;12",$N13:$N14)-$B17</f>
        <v>0</v>
      </c>
      <c r="D17" s="141">
        <f>SUMIF($K13:$K14,"&lt;24",$N13:$N14)-$B17-C17</f>
        <v>0</v>
      </c>
      <c r="E17" s="141">
        <f>SUMIF($K13:$K14,"&lt;36",$N13:$N14)-$B17-D17-C17</f>
        <v>0</v>
      </c>
      <c r="F17" s="141">
        <f>SUMIF($K13:$K14,"&lt;42",$N13:$N14)-$B17-E17-D17-C17</f>
        <v>0</v>
      </c>
      <c r="G17" s="141">
        <f>SUMIF($K13:$K14,"&lt;60",$N13:$N14)-$B17-F17-E17-D17-C17</f>
        <v>0</v>
      </c>
      <c r="H17" s="141">
        <f>SUMIF($K13:$K14,"&lt;72",$N13:$N14)-$B17-G17-F17-E17-D17-C17</f>
        <v>0</v>
      </c>
      <c r="I17" s="141">
        <f>SUMIF($K13:$K14,"&lt;84",$N13:$N14)-$B17-H17-G17-F17-E17-D17-C17</f>
        <v>0</v>
      </c>
      <c r="J17" s="19"/>
      <c r="K17" s="19"/>
      <c r="L17" s="19"/>
      <c r="M17" s="19"/>
      <c r="N17" s="19"/>
      <c r="O17" s="19"/>
      <c r="P17" s="19"/>
      <c r="Q17" s="19"/>
      <c r="R17" s="19"/>
      <c r="S17" s="19"/>
      <c r="T17" s="19"/>
      <c r="U17" s="19"/>
      <c r="W17" s="19"/>
      <c r="X17" s="19"/>
      <c r="Y17" s="19"/>
      <c r="Z17" s="19"/>
      <c r="AA17" s="19"/>
      <c r="AB17" s="19"/>
      <c r="AC17" s="19"/>
      <c r="AD17" s="19"/>
    </row>
    <row r="18" spans="1:30">
      <c r="A18" s="141" t="s">
        <v>470</v>
      </c>
      <c r="B18" s="141">
        <f>SUMIF($K$13:$K$14,"&lt;4",$Q13:$Q14)</f>
        <v>0</v>
      </c>
      <c r="C18" s="141">
        <f>SUMIF($K$13:$K$14,"&lt;12",$Q13:$Q14)-B18</f>
        <v>0</v>
      </c>
      <c r="D18" s="141">
        <f>SUMIF($K$13:$K$14,"&lt;24",$Q13:$Q14)-C18-B18</f>
        <v>0</v>
      </c>
      <c r="E18" s="141">
        <f>SUMIF($K$13:$K$14,"&lt;36",$Q13:$Q14)-D18-C18-B18</f>
        <v>0</v>
      </c>
      <c r="F18" s="141">
        <f>SUMIF($K$13:$K$14,"&lt;48",$Q13:$Q14)-E18-D18-C18-B18</f>
        <v>0</v>
      </c>
      <c r="G18" s="141">
        <f>SUMIF($K$13:$K$14,"&lt;60",$Q13:$Q14)-F18-E18-D18-C18-B18</f>
        <v>0</v>
      </c>
      <c r="H18" s="141">
        <f>SUMIF($K$13:$K$14,"&lt;72",$Q13:$Q14)-G18-F18-E18-D18-C18-B18</f>
        <v>0</v>
      </c>
      <c r="I18" s="141">
        <f>SUMIF($K$13:$K$14,"&lt;84",$Q13:$Q14)-H18-G18-F18-E18-D18-C18-B18</f>
        <v>0</v>
      </c>
      <c r="J18" s="19"/>
      <c r="K18" s="19"/>
      <c r="L18" s="19"/>
      <c r="M18" s="152" t="s">
        <v>212</v>
      </c>
      <c r="N18" s="152" t="s">
        <v>280</v>
      </c>
      <c r="O18" s="152" t="s">
        <v>281</v>
      </c>
      <c r="P18" s="152" t="s">
        <v>282</v>
      </c>
      <c r="Q18" s="152" t="s">
        <v>283</v>
      </c>
      <c r="R18" s="152" t="s">
        <v>284</v>
      </c>
      <c r="S18" s="320" t="s">
        <v>285</v>
      </c>
      <c r="T18" s="130" t="s">
        <v>324</v>
      </c>
      <c r="U18" s="19"/>
      <c r="V18" s="19"/>
      <c r="W18" s="19"/>
      <c r="X18" s="19"/>
      <c r="Y18" s="19"/>
      <c r="Z18" s="19"/>
      <c r="AA18" s="19"/>
      <c r="AB18" s="19"/>
      <c r="AC18" s="19"/>
      <c r="AD18" s="19"/>
    </row>
    <row r="19" spans="1:30">
      <c r="A19" s="141" t="s">
        <v>471</v>
      </c>
      <c r="B19" s="141">
        <f>IFERROR(IF($K13&gt;4,0,$R13*(3-$K13))+IF($K14&gt;4,0,$R14*(3-$K14)),0)</f>
        <v>0</v>
      </c>
      <c r="C19" s="141">
        <f>IFERROR(IF(OR($U13&lt;12,$K13&gt;12),0,IF($K13&lt;=4,$R13*8,$R13*(12-$K13-1)))+IF(OR($U14&lt;12,$K14&gt;12),0,IF($K14&lt;=4,$R14*8,$R14*(12-$K14-1))),0)</f>
        <v>0</v>
      </c>
      <c r="D19" s="141">
        <f>IFERROR(IF(OR($U13&lt;24,$K13&gt;24),0,IF($K13&lt;=12,$R13*12,$R13*(24-$K13-1)))+IF(OR($U14&lt;24,$K14&gt;24),0,IF($K14&lt;=12,$R14*12,$R14*(24-$K14-1))),0)</f>
        <v>0</v>
      </c>
      <c r="E19" s="141">
        <f>IFERROR(IF(OR(U13&lt;36,$K13&gt;36),0,IF($K13&lt;=24,$R13*12,$R13*(36-$K13-1)))+IF(OR(U14&lt;36,$K14&gt;36),0,IF($K14&lt;=24,$R14*12,$R14*(36-$K14-1))),0)</f>
        <v>0</v>
      </c>
      <c r="F19" s="141">
        <f>IFERROR(IF(OR(U13&lt;48,$K13&gt;48),0,IF($K13&lt;=36,$R13*12,$R13*(48-$K13-1)))+IF(OR(U14&lt;48,$K14&gt;48),0,IF($K14&lt;=36,$R14*12,$R14*(48-$K14-1))),0)</f>
        <v>0</v>
      </c>
      <c r="G19" s="141">
        <f>IFERROR(IF(OR(U13&lt;60,$K13&gt;60),0,IF($K13&lt;=48,$R13*12,$R13*(60-$K13-1)))+IF(OR(U14&lt;60,$K14&gt;60),0,IF($K14&lt;=48,$R14*12,$R14*(60-$K14-1))),0)</f>
        <v>0</v>
      </c>
      <c r="H19" s="141">
        <f>IFERROR(IF(OR(U13&lt;72,$K13&gt;72),0,IF($K13&lt;=60,$R13*12,$R13*(72-$K13-1)))+IF(OR(U14&lt;72,$K14&gt;72),0,IF($K14&lt;=60,$R14*12,$R14*(72-$K14-1))),0)</f>
        <v>0</v>
      </c>
      <c r="I19" s="141">
        <f>IFERROR(IF(OR(U13&lt;84,$K13&gt;84),0,IF($K13&lt;=72,$R13*12,$R13*(84-$K13-1)))+IF(OR(U14&lt;84,$K14&gt;84),0,IF($K14&lt;=72,$R14*12,$R14*(84-$K14-1))),0)</f>
        <v>0</v>
      </c>
      <c r="J19" s="19"/>
      <c r="K19" s="19"/>
      <c r="L19" s="19"/>
      <c r="M19" s="152">
        <f>'BO Fin'!B77</f>
        <v>12</v>
      </c>
      <c r="N19" s="152">
        <f>'BO Fin'!C77</f>
        <v>12</v>
      </c>
      <c r="O19" s="152">
        <f>'BO Fin'!D77</f>
        <v>12</v>
      </c>
      <c r="P19" s="152">
        <f>'BO Fin'!E77</f>
        <v>12</v>
      </c>
      <c r="Q19" s="152">
        <f>'BO Fin'!F77</f>
        <v>12</v>
      </c>
      <c r="R19" s="152">
        <f>'BO Fin'!G77</f>
        <v>12</v>
      </c>
      <c r="S19" s="152">
        <f>'BO Fin'!H77</f>
        <v>12</v>
      </c>
      <c r="T19" s="152">
        <f>SUM(M19:S19)</f>
        <v>84</v>
      </c>
      <c r="U19" s="19"/>
      <c r="V19" s="19"/>
      <c r="W19" s="19"/>
      <c r="X19" s="19"/>
      <c r="Y19" s="19"/>
      <c r="Z19" s="19"/>
      <c r="AA19" s="19"/>
      <c r="AB19" s="19"/>
      <c r="AC19" s="19"/>
      <c r="AD19" s="19"/>
    </row>
    <row r="20" spans="1:30">
      <c r="A20" s="141" t="s">
        <v>472</v>
      </c>
      <c r="B20" s="276">
        <f>'P8'!B44</f>
        <v>0</v>
      </c>
      <c r="C20" s="276">
        <f>'P8'!C44</f>
        <v>0</v>
      </c>
      <c r="D20" s="276">
        <f>'P8'!D44</f>
        <v>0</v>
      </c>
      <c r="E20" s="276">
        <f>'P8'!E44</f>
        <v>0</v>
      </c>
      <c r="F20" s="276">
        <f>'P8'!F44</f>
        <v>0</v>
      </c>
      <c r="G20" s="276">
        <f>'P8'!G44</f>
        <v>0</v>
      </c>
      <c r="H20" s="276">
        <f>'P8'!H44</f>
        <v>0</v>
      </c>
      <c r="I20" s="276">
        <f>'P8'!I44</f>
        <v>0</v>
      </c>
      <c r="J20" s="19"/>
      <c r="K20" s="19"/>
      <c r="L20" s="323" t="s">
        <v>362</v>
      </c>
      <c r="M20" s="321">
        <f>'BO Fin'!B78</f>
        <v>0</v>
      </c>
      <c r="N20" s="321">
        <f>'BO Fin'!C78</f>
        <v>0</v>
      </c>
      <c r="O20" s="321">
        <f>'BO Fin'!D78</f>
        <v>0</v>
      </c>
      <c r="P20" s="321">
        <f>'BO Fin'!E78</f>
        <v>0</v>
      </c>
      <c r="Q20" s="321">
        <f>'BO Fin'!F78</f>
        <v>0</v>
      </c>
      <c r="R20" s="321">
        <f>'BO Fin'!G78</f>
        <v>0</v>
      </c>
      <c r="S20" s="321">
        <f>'BO Fin'!H78</f>
        <v>0</v>
      </c>
      <c r="T20" s="628">
        <f t="shared" ref="T20:T25" si="2">SUM(M20:S20)</f>
        <v>0</v>
      </c>
      <c r="U20" s="19"/>
      <c r="V20" s="19"/>
      <c r="W20" s="19"/>
      <c r="X20" s="19"/>
      <c r="Y20" s="19"/>
      <c r="Z20" s="19"/>
      <c r="AA20" s="19"/>
      <c r="AB20" s="19"/>
      <c r="AC20" s="19"/>
      <c r="AD20" s="19"/>
    </row>
    <row r="21" spans="1:30">
      <c r="A21" s="141" t="str">
        <f>A25</f>
        <v>FNT</v>
      </c>
      <c r="B21" s="141">
        <f>B17-B18-B19-B20</f>
        <v>0</v>
      </c>
      <c r="C21" s="141">
        <f t="shared" ref="C21:I21" si="3">C17-C18-C19-C20</f>
        <v>0</v>
      </c>
      <c r="D21" s="141">
        <f t="shared" si="3"/>
        <v>0</v>
      </c>
      <c r="E21" s="141">
        <f t="shared" si="3"/>
        <v>0</v>
      </c>
      <c r="F21" s="141">
        <f t="shared" si="3"/>
        <v>0</v>
      </c>
      <c r="G21" s="141">
        <f t="shared" si="3"/>
        <v>0</v>
      </c>
      <c r="H21" s="141">
        <f t="shared" si="3"/>
        <v>0</v>
      </c>
      <c r="I21" s="141">
        <f t="shared" si="3"/>
        <v>0</v>
      </c>
      <c r="J21" s="19"/>
      <c r="K21" s="19"/>
      <c r="L21" s="323" t="s">
        <v>363</v>
      </c>
      <c r="M21" s="321">
        <f>'BO Fin'!B13</f>
        <v>0</v>
      </c>
      <c r="N21" s="321">
        <f>'BO Fin'!C13</f>
        <v>0</v>
      </c>
      <c r="O21" s="321">
        <f>'BO Fin'!D13</f>
        <v>0</v>
      </c>
      <c r="P21" s="321">
        <f>'BO Fin'!E13</f>
        <v>0</v>
      </c>
      <c r="Q21" s="321">
        <f>'BO Fin'!F13</f>
        <v>0</v>
      </c>
      <c r="R21" s="321">
        <f>'BO Fin'!G13</f>
        <v>0</v>
      </c>
      <c r="S21" s="321">
        <f>'BO Fin'!H13</f>
        <v>0</v>
      </c>
      <c r="T21" s="628">
        <f t="shared" si="2"/>
        <v>0</v>
      </c>
      <c r="U21" s="19"/>
      <c r="V21" s="19"/>
      <c r="W21" s="19"/>
      <c r="X21" s="19"/>
      <c r="Y21" s="19"/>
      <c r="Z21" s="19"/>
      <c r="AA21" s="19"/>
      <c r="AB21" s="19"/>
      <c r="AC21" s="19"/>
      <c r="AD21" s="19"/>
    </row>
    <row r="22" spans="1:30">
      <c r="A22" s="141" t="str">
        <f>A26</f>
        <v>FNT actualisés</v>
      </c>
      <c r="B22" s="141">
        <f>B21</f>
        <v>0</v>
      </c>
      <c r="C22" s="276">
        <f>C21*(1+$F1)^(-1)</f>
        <v>0</v>
      </c>
      <c r="D22" s="276">
        <f>D21*(1+$F1)^(-2)</f>
        <v>0</v>
      </c>
      <c r="E22" s="276">
        <f>E21*(1+$F1)^(-3)</f>
        <v>0</v>
      </c>
      <c r="F22" s="276">
        <f>F21*(1+$F1)^(-4)</f>
        <v>0</v>
      </c>
      <c r="G22" s="276">
        <f>G21*(1+$F1)^(-5)</f>
        <v>0</v>
      </c>
      <c r="H22" s="276">
        <f>H21*(1+$F1)^(-6)</f>
        <v>0</v>
      </c>
      <c r="I22" s="276">
        <f>I21*(1+$F1)^(-7)</f>
        <v>0</v>
      </c>
      <c r="J22" s="19"/>
      <c r="K22" s="19"/>
      <c r="L22" s="323" t="s">
        <v>364</v>
      </c>
      <c r="M22" s="321">
        <f>M20-M21</f>
        <v>0</v>
      </c>
      <c r="N22" s="321">
        <f>IF(N20=0,0,N20-N21)</f>
        <v>0</v>
      </c>
      <c r="O22" s="321">
        <f>IF(N20=0,0,O20-O21)</f>
        <v>0</v>
      </c>
      <c r="P22" s="321">
        <f>IF(N20=0,0,P20-P21)</f>
        <v>0</v>
      </c>
      <c r="Q22" s="321">
        <f>IF(N20=0,0,Q20-Q21)</f>
        <v>0</v>
      </c>
      <c r="R22" s="321">
        <f>IF(N20=0,0,R20-R21)</f>
        <v>0</v>
      </c>
      <c r="S22" s="322">
        <f>IF(N20=0,0,S20-S21)</f>
        <v>0</v>
      </c>
      <c r="T22" s="628">
        <f t="shared" si="2"/>
        <v>0</v>
      </c>
      <c r="U22" s="19"/>
      <c r="V22" s="19"/>
      <c r="W22" s="19"/>
      <c r="X22" s="19"/>
      <c r="Y22" s="19"/>
      <c r="Z22" s="19"/>
      <c r="AA22" s="19"/>
      <c r="AB22" s="19"/>
      <c r="AC22" s="19"/>
      <c r="AD22" s="19"/>
    </row>
    <row r="23" spans="1:30">
      <c r="A23" s="19"/>
      <c r="B23" s="19"/>
      <c r="C23" s="19"/>
      <c r="D23" s="19"/>
      <c r="E23" s="19"/>
      <c r="F23" s="19"/>
      <c r="G23" s="19"/>
      <c r="H23" s="19"/>
      <c r="I23" s="19"/>
      <c r="J23" s="19"/>
      <c r="K23" s="19"/>
      <c r="L23" s="323" t="s">
        <v>365</v>
      </c>
      <c r="M23" s="321">
        <f>'BO Fin'!B15</f>
        <v>0</v>
      </c>
      <c r="N23" s="321">
        <f>'BO Fin'!C15</f>
        <v>0</v>
      </c>
      <c r="O23" s="321">
        <f>'BO Fin'!D15</f>
        <v>0</v>
      </c>
      <c r="P23" s="321">
        <f>'BO Fin'!E15</f>
        <v>0</v>
      </c>
      <c r="Q23" s="321">
        <f>'BO Fin'!F15</f>
        <v>0</v>
      </c>
      <c r="R23" s="321">
        <f>'BO Fin'!G15</f>
        <v>0</v>
      </c>
      <c r="S23" s="321">
        <f>'BO Fin'!H15</f>
        <v>0</v>
      </c>
      <c r="T23" s="628">
        <f t="shared" si="2"/>
        <v>0</v>
      </c>
      <c r="U23" s="19"/>
      <c r="V23" s="19"/>
      <c r="W23" s="19"/>
      <c r="X23" s="19"/>
      <c r="Y23" s="19"/>
      <c r="Z23" s="19"/>
      <c r="AA23" s="19"/>
      <c r="AB23" s="19"/>
      <c r="AC23" s="19"/>
      <c r="AD23" s="19"/>
    </row>
    <row r="24" spans="1:30">
      <c r="A24" s="221" t="s">
        <v>475</v>
      </c>
      <c r="B24" s="141">
        <f>SUMIF($U13:$U14,"&lt;4",$T13:$T14)</f>
        <v>0</v>
      </c>
      <c r="C24" s="276">
        <f>SUMIF($U13:$U14,"&lt;12",$T13:$T14)-B24</f>
        <v>0</v>
      </c>
      <c r="D24" s="276">
        <f>SUMIF($U13:$U14,"&lt;24",$T13:$T14)-C24-B24</f>
        <v>0</v>
      </c>
      <c r="E24" s="276">
        <f>SUMIF($U13:$U14,"&lt;36",$T13:$T14)-D24-C24-B24</f>
        <v>0</v>
      </c>
      <c r="F24" s="276">
        <f>SUMIF($U13:$U14,"&lt;48",$T13:$T14)-E24-D24-C24-B24</f>
        <v>0</v>
      </c>
      <c r="G24" s="276">
        <f>SUMIF($U13:$U14,"&lt;60",$T13:$T14)-F24-E24-D24-C24-B24</f>
        <v>0</v>
      </c>
      <c r="H24" s="276">
        <f>SUMIF($U13:$U14,"&lt;72",$T13:$T14)-G24-F24-E24-D24-C24-B24</f>
        <v>0</v>
      </c>
      <c r="I24" s="276">
        <f>SUMIF($U13:$U14,"&lt;84",$T13:$T14)-H24-G24-F24-E24-D24-C24-B24</f>
        <v>0</v>
      </c>
      <c r="J24" s="19"/>
      <c r="K24" s="19"/>
      <c r="L24" s="323" t="s">
        <v>16</v>
      </c>
      <c r="M24" s="321">
        <f>B6+C6</f>
        <v>0</v>
      </c>
      <c r="N24" s="321">
        <f>D6</f>
        <v>0</v>
      </c>
      <c r="O24" s="321">
        <f t="shared" ref="O24:S24" si="4">E6</f>
        <v>0</v>
      </c>
      <c r="P24" s="321">
        <f t="shared" si="4"/>
        <v>0</v>
      </c>
      <c r="Q24" s="321">
        <f t="shared" si="4"/>
        <v>0</v>
      </c>
      <c r="R24" s="321">
        <f t="shared" si="4"/>
        <v>0</v>
      </c>
      <c r="S24" s="321">
        <f t="shared" si="4"/>
        <v>0</v>
      </c>
      <c r="T24" s="629">
        <f t="shared" si="2"/>
        <v>0</v>
      </c>
      <c r="U24" s="19"/>
      <c r="V24" s="19"/>
      <c r="W24" s="19"/>
      <c r="X24" s="19"/>
      <c r="Y24" s="19"/>
      <c r="Z24" s="19"/>
      <c r="AA24" s="19"/>
      <c r="AB24" s="19"/>
      <c r="AC24" s="19"/>
      <c r="AD24" s="19"/>
    </row>
    <row r="25" spans="1:30">
      <c r="A25" s="141" t="s">
        <v>462</v>
      </c>
      <c r="B25" s="141">
        <f>B21-B24</f>
        <v>0</v>
      </c>
      <c r="C25" s="141">
        <f t="shared" ref="C25:I25" si="5">C21-C24</f>
        <v>0</v>
      </c>
      <c r="D25" s="141">
        <f t="shared" si="5"/>
        <v>0</v>
      </c>
      <c r="E25" s="141">
        <f t="shared" si="5"/>
        <v>0</v>
      </c>
      <c r="F25" s="141">
        <f t="shared" si="5"/>
        <v>0</v>
      </c>
      <c r="G25" s="141">
        <f t="shared" si="5"/>
        <v>0</v>
      </c>
      <c r="H25" s="141">
        <f t="shared" si="5"/>
        <v>0</v>
      </c>
      <c r="I25" s="141">
        <f t="shared" si="5"/>
        <v>0</v>
      </c>
      <c r="J25" s="19"/>
      <c r="K25" s="19"/>
      <c r="L25" s="323" t="s">
        <v>539</v>
      </c>
      <c r="M25" s="321">
        <f>B18+B19+C19+C18</f>
        <v>0</v>
      </c>
      <c r="N25" s="321">
        <f t="shared" ref="N25:S25" si="6">D18+D19</f>
        <v>0</v>
      </c>
      <c r="O25" s="321">
        <f t="shared" si="6"/>
        <v>0</v>
      </c>
      <c r="P25" s="321">
        <f t="shared" si="6"/>
        <v>0</v>
      </c>
      <c r="Q25" s="321">
        <f t="shared" si="6"/>
        <v>0</v>
      </c>
      <c r="R25" s="321">
        <f t="shared" si="6"/>
        <v>0</v>
      </c>
      <c r="S25" s="321">
        <f t="shared" si="6"/>
        <v>0</v>
      </c>
      <c r="T25" s="628">
        <f t="shared" si="2"/>
        <v>0</v>
      </c>
      <c r="U25" s="19"/>
      <c r="V25" s="19"/>
      <c r="W25" s="19"/>
      <c r="X25" s="19"/>
      <c r="Y25" s="19"/>
      <c r="Z25" s="19"/>
      <c r="AA25" s="19"/>
      <c r="AB25" s="19"/>
      <c r="AC25" s="19"/>
      <c r="AD25" s="19"/>
    </row>
    <row r="26" spans="1:30">
      <c r="A26" s="141" t="s">
        <v>463</v>
      </c>
      <c r="B26" s="276">
        <f>B22</f>
        <v>0</v>
      </c>
      <c r="C26" s="276">
        <f>C25*(1+$F1)^(-1)</f>
        <v>0</v>
      </c>
      <c r="D26" s="276">
        <f>D25*(1+$F1)^(-2)</f>
        <v>0</v>
      </c>
      <c r="E26" s="276">
        <f>E25*(1+$F1)^(-3)</f>
        <v>0</v>
      </c>
      <c r="F26" s="276">
        <f>F25*(1+$F1)^(-4)</f>
        <v>0</v>
      </c>
      <c r="G26" s="276">
        <f>G25*(1+$F1)^(-5)</f>
        <v>0</v>
      </c>
      <c r="H26" s="276">
        <f>H25*(1+$F1)^(-6)</f>
        <v>0</v>
      </c>
      <c r="I26" s="276">
        <f>I25*(1+$F1)^(-7)</f>
        <v>0</v>
      </c>
      <c r="J26" s="19"/>
      <c r="K26" s="19"/>
      <c r="L26" s="324" t="s">
        <v>366</v>
      </c>
      <c r="M26" s="321">
        <f t="shared" ref="M26:S26" si="7">$U26*M19</f>
        <v>0</v>
      </c>
      <c r="N26" s="321">
        <f t="shared" si="7"/>
        <v>0</v>
      </c>
      <c r="O26" s="321">
        <f t="shared" si="7"/>
        <v>0</v>
      </c>
      <c r="P26" s="321">
        <f t="shared" si="7"/>
        <v>0</v>
      </c>
      <c r="Q26" s="321">
        <f t="shared" si="7"/>
        <v>0</v>
      </c>
      <c r="R26" s="321">
        <f t="shared" si="7"/>
        <v>0</v>
      </c>
      <c r="S26" s="321">
        <f t="shared" si="7"/>
        <v>0</v>
      </c>
      <c r="T26" s="276">
        <f>SUM(M26:S26)</f>
        <v>0</v>
      </c>
      <c r="U26" s="201">
        <f>('CACh prévi'!H24-N13-N14)/T19</f>
        <v>0</v>
      </c>
      <c r="V26" s="19"/>
      <c r="W26" s="19"/>
      <c r="X26" s="19"/>
      <c r="Y26" s="19"/>
      <c r="Z26" s="19"/>
      <c r="AA26" s="19"/>
      <c r="AB26" s="19"/>
      <c r="AC26" s="19"/>
      <c r="AD26" s="19"/>
    </row>
    <row r="27" spans="1:30">
      <c r="A27" s="74" t="s">
        <v>476</v>
      </c>
      <c r="B27" s="19"/>
      <c r="C27" s="19"/>
      <c r="D27" s="19"/>
      <c r="E27" s="19"/>
      <c r="F27" s="19"/>
      <c r="G27" s="19"/>
      <c r="H27" s="19"/>
      <c r="I27" s="19"/>
      <c r="J27" s="19"/>
      <c r="K27" s="19"/>
      <c r="L27" s="323" t="s">
        <v>367</v>
      </c>
      <c r="M27" s="321">
        <f>M22-M23-M26-M24-M25</f>
        <v>0</v>
      </c>
      <c r="N27" s="321">
        <f t="shared" ref="N27:S27" si="8">N22-N23-N26-N24-N25</f>
        <v>0</v>
      </c>
      <c r="O27" s="321">
        <f t="shared" si="8"/>
        <v>0</v>
      </c>
      <c r="P27" s="321">
        <f t="shared" si="8"/>
        <v>0</v>
      </c>
      <c r="Q27" s="321">
        <f t="shared" si="8"/>
        <v>0</v>
      </c>
      <c r="R27" s="321">
        <f t="shared" si="8"/>
        <v>0</v>
      </c>
      <c r="S27" s="321">
        <f t="shared" si="8"/>
        <v>0</v>
      </c>
      <c r="T27" s="276">
        <f>SUM(M27:S27)</f>
        <v>0</v>
      </c>
      <c r="U27" s="19"/>
      <c r="V27" s="19"/>
      <c r="W27" s="19"/>
      <c r="X27" s="19"/>
      <c r="Y27" s="19"/>
      <c r="Z27" s="19"/>
      <c r="AA27" s="19"/>
      <c r="AB27" s="19"/>
      <c r="AC27" s="19"/>
      <c r="AD27" s="19"/>
    </row>
    <row r="28" spans="1:30">
      <c r="A28" s="19"/>
      <c r="B28" s="19"/>
      <c r="C28" s="19"/>
      <c r="D28" s="19"/>
      <c r="E28" s="19"/>
      <c r="F28" s="19"/>
      <c r="G28" s="19"/>
      <c r="H28" s="19"/>
      <c r="I28" s="19"/>
      <c r="J28" s="19"/>
      <c r="K28" s="19"/>
      <c r="L28" s="141" t="s">
        <v>477</v>
      </c>
      <c r="M28" s="197">
        <f t="shared" ref="M28:S28" si="9">IFERROR((M23+M26+M24+M25)/(M22/M20),0)</f>
        <v>0</v>
      </c>
      <c r="N28" s="197">
        <f t="shared" si="9"/>
        <v>0</v>
      </c>
      <c r="O28" s="197">
        <f t="shared" si="9"/>
        <v>0</v>
      </c>
      <c r="P28" s="197">
        <f t="shared" si="9"/>
        <v>0</v>
      </c>
      <c r="Q28" s="197">
        <f t="shared" si="9"/>
        <v>0</v>
      </c>
      <c r="R28" s="197">
        <f t="shared" si="9"/>
        <v>0</v>
      </c>
      <c r="S28" s="197">
        <f t="shared" si="9"/>
        <v>0</v>
      </c>
      <c r="T28" s="197">
        <f>SUM(M28:S28)</f>
        <v>0</v>
      </c>
      <c r="V28" s="19"/>
      <c r="W28" s="19"/>
      <c r="X28" s="19"/>
      <c r="Y28" s="19"/>
      <c r="Z28" s="19"/>
      <c r="AA28" s="19"/>
      <c r="AB28" s="19"/>
      <c r="AC28" s="19"/>
      <c r="AD28" s="19"/>
    </row>
    <row r="29" spans="1:30">
      <c r="A29" s="412" t="s">
        <v>546</v>
      </c>
      <c r="B29" s="372"/>
      <c r="C29" s="413">
        <f>SUM(B22:I22)</f>
        <v>0</v>
      </c>
      <c r="D29" s="19"/>
      <c r="E29" s="19"/>
      <c r="F29" s="19"/>
      <c r="G29" s="19"/>
      <c r="H29" s="19"/>
      <c r="I29" s="19"/>
      <c r="J29" s="19"/>
      <c r="K29" s="19"/>
      <c r="L29" s="141" t="s">
        <v>478</v>
      </c>
      <c r="M29" s="197">
        <f t="shared" ref="M29:T29" si="10">M20-M28</f>
        <v>0</v>
      </c>
      <c r="N29" s="197">
        <f t="shared" si="10"/>
        <v>0</v>
      </c>
      <c r="O29" s="197">
        <f t="shared" si="10"/>
        <v>0</v>
      </c>
      <c r="P29" s="197">
        <f t="shared" si="10"/>
        <v>0</v>
      </c>
      <c r="Q29" s="197">
        <f t="shared" si="10"/>
        <v>0</v>
      </c>
      <c r="R29" s="197">
        <f t="shared" si="10"/>
        <v>0</v>
      </c>
      <c r="S29" s="197">
        <f t="shared" si="10"/>
        <v>0</v>
      </c>
      <c r="T29" s="197">
        <f t="shared" si="10"/>
        <v>0</v>
      </c>
      <c r="U29" s="19"/>
      <c r="V29" s="19"/>
      <c r="W29" s="19"/>
      <c r="X29" s="19"/>
      <c r="Y29" s="19"/>
      <c r="Z29" s="19"/>
      <c r="AA29" s="19"/>
      <c r="AB29" s="19"/>
      <c r="AC29" s="19"/>
      <c r="AD29" s="19"/>
    </row>
    <row r="30" spans="1:30">
      <c r="A30" s="414" t="s">
        <v>490</v>
      </c>
      <c r="B30" s="375"/>
      <c r="C30" s="415">
        <f>SUM(B26:I26)</f>
        <v>0</v>
      </c>
      <c r="D30" s="19"/>
      <c r="E30" s="19"/>
      <c r="F30" s="19"/>
      <c r="G30" s="19"/>
      <c r="H30" s="19"/>
      <c r="I30" s="19"/>
      <c r="J30" s="19"/>
      <c r="K30" s="19"/>
      <c r="L30" s="141" t="s">
        <v>479</v>
      </c>
      <c r="M30" s="23">
        <f>IFERROR(M29/M20,0)</f>
        <v>0</v>
      </c>
      <c r="N30" s="23">
        <f t="shared" ref="N30:S30" si="11">IFERROR(N29/N20,0)</f>
        <v>0</v>
      </c>
      <c r="O30" s="23">
        <f t="shared" si="11"/>
        <v>0</v>
      </c>
      <c r="P30" s="23">
        <f t="shared" si="11"/>
        <v>0</v>
      </c>
      <c r="Q30" s="23">
        <f t="shared" si="11"/>
        <v>0</v>
      </c>
      <c r="R30" s="23">
        <f t="shared" si="11"/>
        <v>0</v>
      </c>
      <c r="S30" s="23">
        <f t="shared" si="11"/>
        <v>0</v>
      </c>
      <c r="T30" s="23">
        <f>IFERROR(T29/T20,0)</f>
        <v>0</v>
      </c>
      <c r="U30" s="19"/>
      <c r="V30" s="19"/>
      <c r="W30" s="19"/>
      <c r="X30" s="19"/>
      <c r="Y30" s="19"/>
      <c r="Z30" s="19"/>
      <c r="AA30" s="19"/>
      <c r="AB30" s="19"/>
      <c r="AC30" s="19"/>
      <c r="AD30" s="19"/>
    </row>
    <row r="31" spans="1:30">
      <c r="A31" s="19"/>
      <c r="B31" s="19"/>
      <c r="C31" s="19"/>
      <c r="D31" s="19"/>
      <c r="E31" s="19"/>
      <c r="F31" s="19"/>
      <c r="G31" s="19"/>
      <c r="H31" s="19"/>
      <c r="I31" s="19"/>
      <c r="J31" s="19"/>
      <c r="K31" s="19"/>
      <c r="L31" s="141" t="s">
        <v>480</v>
      </c>
      <c r="M31" s="24">
        <f>IFERROR(1/M30,0)</f>
        <v>0</v>
      </c>
      <c r="N31" s="24">
        <f>IFERROR(1/N30,0)</f>
        <v>0</v>
      </c>
      <c r="O31" s="24">
        <f t="shared" ref="O31:T31" si="12">IFERROR(1/O30,0)</f>
        <v>0</v>
      </c>
      <c r="P31" s="24">
        <f t="shared" si="12"/>
        <v>0</v>
      </c>
      <c r="Q31" s="24">
        <f t="shared" si="12"/>
        <v>0</v>
      </c>
      <c r="R31" s="24">
        <f t="shared" si="12"/>
        <v>0</v>
      </c>
      <c r="S31" s="24">
        <f t="shared" si="12"/>
        <v>0</v>
      </c>
      <c r="T31" s="249">
        <f t="shared" si="12"/>
        <v>0</v>
      </c>
      <c r="U31" s="19"/>
      <c r="V31" s="19"/>
      <c r="W31" s="19"/>
      <c r="X31" s="19"/>
      <c r="Y31" s="19"/>
      <c r="Z31" s="19"/>
      <c r="AA31" s="19"/>
      <c r="AB31" s="19"/>
      <c r="AC31" s="19"/>
      <c r="AD31" s="19"/>
    </row>
    <row r="32" spans="1:30">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0">
      <c r="A33" s="13" t="s">
        <v>542</v>
      </c>
      <c r="B33" s="13"/>
      <c r="C33" s="13"/>
      <c r="D33" s="13"/>
      <c r="E33" s="172"/>
      <c r="F33" s="172"/>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0">
      <c r="A34" s="19"/>
      <c r="B34" s="151"/>
      <c r="C34" s="151"/>
      <c r="D34" s="151"/>
      <c r="E34" s="151"/>
      <c r="F34" s="151"/>
      <c r="G34" s="151"/>
      <c r="H34" s="151"/>
      <c r="I34" s="151"/>
      <c r="J34" s="19"/>
      <c r="K34" s="19"/>
      <c r="L34" s="13" t="s">
        <v>540</v>
      </c>
      <c r="M34" s="13"/>
      <c r="N34" s="13"/>
      <c r="O34" s="13"/>
      <c r="P34" s="172"/>
      <c r="Q34" s="172"/>
      <c r="R34" s="19"/>
      <c r="S34" s="19"/>
      <c r="T34" s="19"/>
      <c r="U34" s="19"/>
      <c r="V34" s="19"/>
      <c r="W34" s="19"/>
      <c r="X34" s="19"/>
      <c r="Y34" s="19"/>
      <c r="Z34" s="19"/>
      <c r="AA34" s="19"/>
      <c r="AB34" s="19"/>
      <c r="AC34" s="19"/>
      <c r="AD34" s="19"/>
    </row>
    <row r="35" spans="1:30">
      <c r="A35" s="19"/>
      <c r="B35" s="707">
        <f ca="1">IF(B43&lt;0,-B43,0)</f>
        <v>0</v>
      </c>
      <c r="C35" s="707">
        <f t="shared" ref="C35:I35" ca="1" si="13">IF(C43&lt;0,-C43,0)</f>
        <v>0</v>
      </c>
      <c r="D35" s="707">
        <f t="shared" ca="1" si="13"/>
        <v>0</v>
      </c>
      <c r="E35" s="707">
        <f t="shared" ca="1" si="13"/>
        <v>0</v>
      </c>
      <c r="F35" s="707">
        <f t="shared" ca="1" si="13"/>
        <v>0</v>
      </c>
      <c r="G35" s="707">
        <f t="shared" ca="1" si="13"/>
        <v>0</v>
      </c>
      <c r="H35" s="707">
        <f t="shared" ca="1" si="13"/>
        <v>0</v>
      </c>
      <c r="I35" s="707">
        <f t="shared" ca="1" si="13"/>
        <v>0</v>
      </c>
      <c r="J35" s="19"/>
      <c r="K35" s="19"/>
      <c r="L35" s="19"/>
      <c r="M35" s="19"/>
      <c r="N35" s="19"/>
      <c r="O35" s="19"/>
      <c r="P35" s="19"/>
      <c r="Q35" s="19"/>
      <c r="R35" s="19"/>
      <c r="S35" s="19"/>
      <c r="T35" s="19"/>
      <c r="U35" s="19"/>
      <c r="V35" s="19"/>
      <c r="W35" s="19"/>
      <c r="X35" s="19"/>
      <c r="Y35" s="19"/>
      <c r="Z35" s="19"/>
      <c r="AA35" s="19"/>
      <c r="AB35" s="19"/>
      <c r="AC35" s="19"/>
      <c r="AD35" s="19"/>
    </row>
    <row r="36" spans="1:30">
      <c r="A36" s="19"/>
      <c r="B36" s="151">
        <f ca="1">IF(B43&gt;0,B43,0)</f>
        <v>0</v>
      </c>
      <c r="C36" s="151">
        <f t="shared" ref="C36:I36" ca="1" si="14">IF(C43&gt;0,C43,0)</f>
        <v>0</v>
      </c>
      <c r="D36" s="151">
        <f t="shared" ca="1" si="14"/>
        <v>0</v>
      </c>
      <c r="E36" s="707">
        <f t="shared" ca="1" si="14"/>
        <v>0</v>
      </c>
      <c r="F36" s="707">
        <f t="shared" ca="1" si="14"/>
        <v>0</v>
      </c>
      <c r="G36" s="707">
        <f t="shared" ca="1" si="14"/>
        <v>0</v>
      </c>
      <c r="H36" s="707">
        <f t="shared" ca="1" si="14"/>
        <v>0</v>
      </c>
      <c r="I36" s="707">
        <f t="shared" ca="1" si="14"/>
        <v>0</v>
      </c>
      <c r="J36" s="19"/>
      <c r="K36" s="19"/>
      <c r="L36" s="19"/>
      <c r="M36" s="152" t="s">
        <v>212</v>
      </c>
      <c r="N36" s="152" t="s">
        <v>280</v>
      </c>
      <c r="O36" s="152" t="s">
        <v>281</v>
      </c>
      <c r="P36" s="152" t="s">
        <v>282</v>
      </c>
      <c r="Q36" s="152" t="s">
        <v>283</v>
      </c>
      <c r="R36" s="152" t="s">
        <v>284</v>
      </c>
      <c r="S36" s="320" t="s">
        <v>285</v>
      </c>
      <c r="T36" s="130" t="s">
        <v>324</v>
      </c>
      <c r="U36" s="19"/>
      <c r="V36" s="19"/>
      <c r="W36" s="19"/>
      <c r="X36" s="19"/>
      <c r="Y36" s="19"/>
      <c r="Z36" s="19"/>
      <c r="AA36" s="19"/>
      <c r="AB36" s="19"/>
      <c r="AC36" s="19"/>
      <c r="AD36" s="19"/>
    </row>
    <row r="37" spans="1:30">
      <c r="A37" s="19"/>
      <c r="B37" s="151"/>
      <c r="C37" s="708">
        <v>1</v>
      </c>
      <c r="D37" s="708">
        <v>2</v>
      </c>
      <c r="E37" s="708">
        <v>3</v>
      </c>
      <c r="F37" s="708">
        <v>4</v>
      </c>
      <c r="G37" s="708">
        <v>5</v>
      </c>
      <c r="H37" s="708">
        <v>6</v>
      </c>
      <c r="I37" s="708">
        <v>7</v>
      </c>
      <c r="J37" s="19"/>
      <c r="K37" s="19"/>
      <c r="L37" s="19"/>
      <c r="M37" s="419">
        <f t="shared" ref="M37:T37" si="15">M19</f>
        <v>12</v>
      </c>
      <c r="N37" s="419">
        <f t="shared" si="15"/>
        <v>12</v>
      </c>
      <c r="O37" s="419">
        <f t="shared" si="15"/>
        <v>12</v>
      </c>
      <c r="P37" s="419">
        <f t="shared" si="15"/>
        <v>12</v>
      </c>
      <c r="Q37" s="419">
        <f t="shared" si="15"/>
        <v>12</v>
      </c>
      <c r="R37" s="419">
        <f t="shared" si="15"/>
        <v>12</v>
      </c>
      <c r="S37" s="419">
        <f t="shared" si="15"/>
        <v>12</v>
      </c>
      <c r="T37" s="419">
        <f t="shared" si="15"/>
        <v>84</v>
      </c>
      <c r="U37" s="19"/>
      <c r="V37" s="19"/>
      <c r="W37" s="19"/>
      <c r="X37" s="19"/>
      <c r="Y37" s="19"/>
      <c r="Z37" s="19"/>
      <c r="AA37" s="19"/>
      <c r="AB37" s="19"/>
      <c r="AC37" s="19"/>
      <c r="AD37" s="19"/>
    </row>
    <row r="38" spans="1:30">
      <c r="A38" s="19"/>
      <c r="B38" s="594" t="str">
        <f t="shared" ref="B38:I38" si="16">B3</f>
        <v>Début An1</v>
      </c>
      <c r="C38" s="594" t="str">
        <f t="shared" si="16"/>
        <v>Fin An1</v>
      </c>
      <c r="D38" s="594" t="str">
        <f t="shared" si="16"/>
        <v>Fin An2</v>
      </c>
      <c r="E38" s="594" t="str">
        <f t="shared" si="16"/>
        <v>Fin An3</v>
      </c>
      <c r="F38" s="594" t="str">
        <f t="shared" si="16"/>
        <v>Fin An4</v>
      </c>
      <c r="G38" s="594" t="str">
        <f t="shared" si="16"/>
        <v>Fin An5</v>
      </c>
      <c r="H38" s="594" t="str">
        <f t="shared" si="16"/>
        <v>Fin An6</v>
      </c>
      <c r="I38" s="594" t="str">
        <f t="shared" si="16"/>
        <v>Fin An7</v>
      </c>
      <c r="J38" s="19"/>
      <c r="K38" s="19"/>
      <c r="L38" s="141" t="str">
        <f>A24</f>
        <v>Option Achat</v>
      </c>
      <c r="M38" s="276">
        <f>B24+C24</f>
        <v>0</v>
      </c>
      <c r="N38" s="276">
        <f>D24</f>
        <v>0</v>
      </c>
      <c r="O38" s="276">
        <f t="shared" ref="O38:S38" si="17">E24</f>
        <v>0</v>
      </c>
      <c r="P38" s="276">
        <f t="shared" si="17"/>
        <v>0</v>
      </c>
      <c r="Q38" s="276">
        <f t="shared" si="17"/>
        <v>0</v>
      </c>
      <c r="R38" s="276">
        <f t="shared" si="17"/>
        <v>0</v>
      </c>
      <c r="S38" s="276">
        <f t="shared" si="17"/>
        <v>0</v>
      </c>
      <c r="T38" s="276">
        <f>SUM(M38:S38)</f>
        <v>0</v>
      </c>
      <c r="U38" s="19"/>
      <c r="V38" s="19"/>
      <c r="W38" s="19"/>
      <c r="X38" s="19"/>
      <c r="Y38" s="19"/>
      <c r="Z38" s="19"/>
      <c r="AA38" s="19"/>
      <c r="AB38" s="19"/>
      <c r="AC38" s="19"/>
      <c r="AD38" s="19"/>
    </row>
    <row r="39" spans="1:30">
      <c r="A39" s="141" t="s">
        <v>481</v>
      </c>
      <c r="B39" s="276">
        <f t="shared" ref="B39:I39" si="18">B8</f>
        <v>0</v>
      </c>
      <c r="C39" s="276">
        <f t="shared" si="18"/>
        <v>0</v>
      </c>
      <c r="D39" s="276">
        <f t="shared" si="18"/>
        <v>0</v>
      </c>
      <c r="E39" s="276">
        <f t="shared" si="18"/>
        <v>0</v>
      </c>
      <c r="F39" s="276">
        <f t="shared" si="18"/>
        <v>0</v>
      </c>
      <c r="G39" s="276">
        <f t="shared" si="18"/>
        <v>0</v>
      </c>
      <c r="H39" s="276">
        <f t="shared" si="18"/>
        <v>0</v>
      </c>
      <c r="I39" s="276">
        <f t="shared" si="18"/>
        <v>0</v>
      </c>
      <c r="J39" s="19"/>
      <c r="K39" s="19"/>
      <c r="L39" s="420"/>
      <c r="M39" s="421">
        <f>M38</f>
        <v>0</v>
      </c>
      <c r="N39" s="421">
        <f>M39+N38</f>
        <v>0</v>
      </c>
      <c r="O39" s="421">
        <f t="shared" ref="O39:S39" si="19">N39+O38</f>
        <v>0</v>
      </c>
      <c r="P39" s="421">
        <f t="shared" si="19"/>
        <v>0</v>
      </c>
      <c r="Q39" s="421">
        <f t="shared" si="19"/>
        <v>0</v>
      </c>
      <c r="R39" s="421">
        <f t="shared" si="19"/>
        <v>0</v>
      </c>
      <c r="S39" s="421">
        <f t="shared" si="19"/>
        <v>0</v>
      </c>
      <c r="T39" s="421">
        <f>COUNTIF(M39:S39,"&gt;0")</f>
        <v>0</v>
      </c>
      <c r="U39" s="19"/>
      <c r="V39" s="19"/>
      <c r="W39" s="19"/>
      <c r="X39" s="19"/>
      <c r="Y39" s="19"/>
      <c r="Z39" s="19"/>
      <c r="AA39" s="19"/>
      <c r="AB39" s="19"/>
      <c r="AC39" s="19"/>
      <c r="AD39" s="19"/>
    </row>
    <row r="40" spans="1:30">
      <c r="A40" s="141" t="s">
        <v>482</v>
      </c>
      <c r="B40" s="276">
        <f t="shared" ref="B40:I40" si="20">B22</f>
        <v>0</v>
      </c>
      <c r="C40" s="276">
        <f t="shared" si="20"/>
        <v>0</v>
      </c>
      <c r="D40" s="276">
        <f t="shared" si="20"/>
        <v>0</v>
      </c>
      <c r="E40" s="276">
        <f t="shared" si="20"/>
        <v>0</v>
      </c>
      <c r="F40" s="276">
        <f t="shared" si="20"/>
        <v>0</v>
      </c>
      <c r="G40" s="276">
        <f t="shared" si="20"/>
        <v>0</v>
      </c>
      <c r="H40" s="276">
        <f t="shared" si="20"/>
        <v>0</v>
      </c>
      <c r="I40" s="276">
        <f t="shared" si="20"/>
        <v>0</v>
      </c>
      <c r="J40" s="19"/>
      <c r="K40" s="19"/>
      <c r="L40" s="141" t="s">
        <v>541</v>
      </c>
      <c r="M40" s="276">
        <f>IF(L39=0,0,$T$38/($T$39-1))</f>
        <v>0</v>
      </c>
      <c r="N40" s="276">
        <f t="shared" ref="N40:S40" si="21">IF(M39=0,0,$T$38/($T$39-1))</f>
        <v>0</v>
      </c>
      <c r="O40" s="276">
        <f t="shared" si="21"/>
        <v>0</v>
      </c>
      <c r="P40" s="276">
        <f t="shared" si="21"/>
        <v>0</v>
      </c>
      <c r="Q40" s="276">
        <f t="shared" si="21"/>
        <v>0</v>
      </c>
      <c r="R40" s="276">
        <f t="shared" si="21"/>
        <v>0</v>
      </c>
      <c r="S40" s="276">
        <f t="shared" si="21"/>
        <v>0</v>
      </c>
      <c r="T40" s="276">
        <f>SUM(M40:S40)</f>
        <v>0</v>
      </c>
      <c r="U40" s="19"/>
      <c r="V40" s="19"/>
      <c r="W40" s="19"/>
      <c r="X40" s="19"/>
      <c r="Y40" s="19"/>
      <c r="Z40" s="19"/>
      <c r="AA40" s="19"/>
      <c r="AB40" s="19"/>
      <c r="AC40" s="19"/>
      <c r="AD40" s="19"/>
    </row>
    <row r="41" spans="1:30">
      <c r="A41" s="141" t="s">
        <v>483</v>
      </c>
      <c r="B41" s="276">
        <f ca="1">'BO Fin'!B63</f>
        <v>0</v>
      </c>
      <c r="C41" s="276">
        <f ca="1">'BO Fin'!C63</f>
        <v>0</v>
      </c>
      <c r="D41" s="276">
        <f ca="1">'BO Fin'!D63</f>
        <v>0</v>
      </c>
      <c r="E41" s="276">
        <f ca="1">'BO Fin'!E63</f>
        <v>0</v>
      </c>
      <c r="F41" s="276">
        <f ca="1">'BO Fin'!F63</f>
        <v>0</v>
      </c>
      <c r="G41" s="276">
        <f ca="1">'BO Fin'!G63</f>
        <v>0</v>
      </c>
      <c r="H41" s="276">
        <f ca="1">'BO Fin'!H63</f>
        <v>0</v>
      </c>
      <c r="I41" s="276">
        <f ca="1">'BO Fin'!I63</f>
        <v>0</v>
      </c>
      <c r="J41" s="19"/>
      <c r="K41" s="19"/>
      <c r="L41" s="141" t="s">
        <v>367</v>
      </c>
      <c r="M41" s="276">
        <f>M27-M40</f>
        <v>0</v>
      </c>
      <c r="N41" s="276">
        <f t="shared" ref="N41:T41" si="22">N27-N40</f>
        <v>0</v>
      </c>
      <c r="O41" s="276">
        <f t="shared" si="22"/>
        <v>0</v>
      </c>
      <c r="P41" s="276">
        <f t="shared" si="22"/>
        <v>0</v>
      </c>
      <c r="Q41" s="276">
        <f t="shared" si="22"/>
        <v>0</v>
      </c>
      <c r="R41" s="276">
        <f t="shared" si="22"/>
        <v>0</v>
      </c>
      <c r="S41" s="276">
        <f t="shared" si="22"/>
        <v>0</v>
      </c>
      <c r="T41" s="276">
        <f t="shared" si="22"/>
        <v>0</v>
      </c>
      <c r="U41" s="74"/>
      <c r="V41" s="19"/>
      <c r="W41" s="19"/>
      <c r="X41" s="19"/>
      <c r="Y41" s="19"/>
      <c r="Z41" s="19"/>
      <c r="AA41" s="19"/>
      <c r="AB41" s="19"/>
      <c r="AC41" s="19"/>
      <c r="AD41" s="19"/>
    </row>
    <row r="42" spans="1:30">
      <c r="A42" s="141" t="s">
        <v>484</v>
      </c>
      <c r="B42" s="276">
        <f ca="1">B39+B41+B40</f>
        <v>0</v>
      </c>
      <c r="C42" s="276">
        <f t="shared" ref="C42:I42" ca="1" si="23">C39+C41+C40</f>
        <v>0</v>
      </c>
      <c r="D42" s="276">
        <f t="shared" ca="1" si="23"/>
        <v>0</v>
      </c>
      <c r="E42" s="276">
        <f t="shared" ca="1" si="23"/>
        <v>0</v>
      </c>
      <c r="F42" s="276">
        <f t="shared" ca="1" si="23"/>
        <v>0</v>
      </c>
      <c r="G42" s="276">
        <f t="shared" ca="1" si="23"/>
        <v>0</v>
      </c>
      <c r="H42" s="276">
        <f t="shared" ca="1" si="23"/>
        <v>0</v>
      </c>
      <c r="I42" s="276">
        <f t="shared" ca="1" si="23"/>
        <v>0</v>
      </c>
      <c r="J42" s="19"/>
      <c r="K42" s="19"/>
      <c r="L42" s="141" t="s">
        <v>477</v>
      </c>
      <c r="M42" s="197">
        <f t="shared" ref="M42:T42" si="24">IFERROR((M23+M24+M25+M26+M40)/(M22/M20),0)</f>
        <v>0</v>
      </c>
      <c r="N42" s="197">
        <f t="shared" si="24"/>
        <v>0</v>
      </c>
      <c r="O42" s="197">
        <f t="shared" si="24"/>
        <v>0</v>
      </c>
      <c r="P42" s="197">
        <f t="shared" si="24"/>
        <v>0</v>
      </c>
      <c r="Q42" s="197">
        <f t="shared" si="24"/>
        <v>0</v>
      </c>
      <c r="R42" s="197">
        <f t="shared" si="24"/>
        <v>0</v>
      </c>
      <c r="S42" s="197">
        <f t="shared" si="24"/>
        <v>0</v>
      </c>
      <c r="T42" s="197">
        <f t="shared" si="24"/>
        <v>0</v>
      </c>
      <c r="U42" s="74"/>
      <c r="V42" s="19"/>
      <c r="W42" s="19"/>
      <c r="X42" s="19"/>
      <c r="Y42" s="19"/>
      <c r="Z42" s="19"/>
      <c r="AA42" s="19"/>
      <c r="AB42" s="19"/>
      <c r="AC42" s="19"/>
      <c r="AD42" s="19"/>
    </row>
    <row r="43" spans="1:30">
      <c r="A43" s="141" t="s">
        <v>485</v>
      </c>
      <c r="B43" s="276">
        <f ca="1">B42</f>
        <v>0</v>
      </c>
      <c r="C43" s="276">
        <f ca="1">B43+C42</f>
        <v>0</v>
      </c>
      <c r="D43" s="276">
        <f t="shared" ref="D43:I43" ca="1" si="25">C43+D42</f>
        <v>0</v>
      </c>
      <c r="E43" s="276">
        <f t="shared" ca="1" si="25"/>
        <v>0</v>
      </c>
      <c r="F43" s="276">
        <f t="shared" ca="1" si="25"/>
        <v>0</v>
      </c>
      <c r="G43" s="276">
        <f t="shared" ca="1" si="25"/>
        <v>0</v>
      </c>
      <c r="H43" s="276">
        <f t="shared" ca="1" si="25"/>
        <v>0</v>
      </c>
      <c r="I43" s="276">
        <f t="shared" ca="1" si="25"/>
        <v>0</v>
      </c>
      <c r="J43" s="19"/>
      <c r="K43" s="19"/>
      <c r="L43" s="141" t="s">
        <v>478</v>
      </c>
      <c r="M43" s="197">
        <f>M20-M42</f>
        <v>0</v>
      </c>
      <c r="N43" s="197">
        <f t="shared" ref="N43:T43" si="26">N20-N42</f>
        <v>0</v>
      </c>
      <c r="O43" s="197">
        <f t="shared" si="26"/>
        <v>0</v>
      </c>
      <c r="P43" s="197">
        <f t="shared" si="26"/>
        <v>0</v>
      </c>
      <c r="Q43" s="197">
        <f t="shared" si="26"/>
        <v>0</v>
      </c>
      <c r="R43" s="197">
        <f t="shared" si="26"/>
        <v>0</v>
      </c>
      <c r="S43" s="197">
        <f t="shared" si="26"/>
        <v>0</v>
      </c>
      <c r="T43" s="197">
        <f t="shared" si="26"/>
        <v>0</v>
      </c>
      <c r="U43" s="326">
        <f>U26</f>
        <v>0</v>
      </c>
      <c r="V43" s="19"/>
      <c r="W43" s="19"/>
      <c r="X43" s="19"/>
      <c r="Y43" s="19"/>
      <c r="Z43" s="19"/>
      <c r="AA43" s="19"/>
      <c r="AB43" s="19"/>
      <c r="AC43" s="19"/>
      <c r="AD43" s="19"/>
    </row>
    <row r="44" spans="1:30">
      <c r="A44" s="151"/>
      <c r="B44" s="151" t="b">
        <f ca="1">IF(B43&gt;0,TRUE,FALSE)</f>
        <v>0</v>
      </c>
      <c r="C44" s="151" t="b">
        <f t="shared" ref="C44:I44" ca="1" si="27">IF(C43&gt;0,TRUE,FALSE)</f>
        <v>0</v>
      </c>
      <c r="D44" s="151" t="b">
        <f t="shared" ca="1" si="27"/>
        <v>0</v>
      </c>
      <c r="E44" s="151" t="b">
        <f t="shared" ca="1" si="27"/>
        <v>0</v>
      </c>
      <c r="F44" s="151" t="b">
        <f t="shared" ca="1" si="27"/>
        <v>0</v>
      </c>
      <c r="G44" s="151" t="b">
        <f t="shared" ca="1" si="27"/>
        <v>0</v>
      </c>
      <c r="H44" s="151" t="b">
        <f t="shared" ca="1" si="27"/>
        <v>0</v>
      </c>
      <c r="I44" s="151" t="b">
        <f t="shared" ca="1" si="27"/>
        <v>0</v>
      </c>
      <c r="J44" s="19"/>
      <c r="K44" s="19"/>
      <c r="L44" s="141" t="s">
        <v>479</v>
      </c>
      <c r="M44" s="23">
        <f t="shared" ref="M44:T44" si="28">IFERROR(M43/M20,0)</f>
        <v>0</v>
      </c>
      <c r="N44" s="23">
        <f t="shared" si="28"/>
        <v>0</v>
      </c>
      <c r="O44" s="23">
        <f t="shared" si="28"/>
        <v>0</v>
      </c>
      <c r="P44" s="23">
        <f t="shared" si="28"/>
        <v>0</v>
      </c>
      <c r="Q44" s="23">
        <f t="shared" si="28"/>
        <v>0</v>
      </c>
      <c r="R44" s="23">
        <f t="shared" si="28"/>
        <v>0</v>
      </c>
      <c r="S44" s="23">
        <f t="shared" si="28"/>
        <v>0</v>
      </c>
      <c r="T44" s="23">
        <f t="shared" si="28"/>
        <v>0</v>
      </c>
      <c r="U44" s="19"/>
      <c r="V44" s="19"/>
      <c r="W44" s="19"/>
      <c r="X44" s="19"/>
      <c r="Y44" s="19"/>
      <c r="Z44" s="19"/>
      <c r="AA44" s="19"/>
      <c r="AB44" s="19"/>
      <c r="AC44" s="19"/>
      <c r="AD44" s="19"/>
    </row>
    <row r="45" spans="1:30">
      <c r="A45" s="151"/>
      <c r="B45" s="151" t="str">
        <f ca="1">IFERROR(IF(B44=TRUE,-A43,""),0)</f>
        <v/>
      </c>
      <c r="C45" s="707" t="str">
        <f t="shared" ref="C45:I45" ca="1" si="29">IF(C44=TRUE,-B43,"")</f>
        <v/>
      </c>
      <c r="D45" s="707" t="str">
        <f t="shared" ca="1" si="29"/>
        <v/>
      </c>
      <c r="E45" s="707" t="str">
        <f t="shared" ca="1" si="29"/>
        <v/>
      </c>
      <c r="F45" s="707" t="str">
        <f t="shared" ca="1" si="29"/>
        <v/>
      </c>
      <c r="G45" s="707" t="str">
        <f t="shared" ca="1" si="29"/>
        <v/>
      </c>
      <c r="H45" s="707" t="str">
        <f t="shared" ca="1" si="29"/>
        <v/>
      </c>
      <c r="I45" s="707" t="str">
        <f t="shared" ca="1" si="29"/>
        <v/>
      </c>
      <c r="J45" s="19"/>
      <c r="K45" s="19"/>
      <c r="L45" s="141" t="s">
        <v>480</v>
      </c>
      <c r="M45" s="24">
        <f>IFERROR(1/M44,0)</f>
        <v>0</v>
      </c>
      <c r="N45" s="24">
        <f>IFERROR(1/N44,0)</f>
        <v>0</v>
      </c>
      <c r="O45" s="24">
        <f t="shared" ref="O45:T45" si="30">IFERROR(1/O44,0)</f>
        <v>0</v>
      </c>
      <c r="P45" s="24">
        <f t="shared" si="30"/>
        <v>0</v>
      </c>
      <c r="Q45" s="24">
        <f t="shared" si="30"/>
        <v>0</v>
      </c>
      <c r="R45" s="24">
        <f t="shared" si="30"/>
        <v>0</v>
      </c>
      <c r="S45" s="24">
        <f t="shared" si="30"/>
        <v>0</v>
      </c>
      <c r="T45" s="249">
        <f t="shared" si="30"/>
        <v>0</v>
      </c>
      <c r="U45" s="19"/>
      <c r="V45" s="19"/>
      <c r="W45" s="19"/>
      <c r="X45" s="19"/>
      <c r="Y45" s="19"/>
      <c r="Z45" s="19"/>
      <c r="AA45" s="19"/>
      <c r="AB45" s="19"/>
      <c r="AC45" s="19"/>
      <c r="AD45" s="19"/>
    </row>
    <row r="46" spans="1:30">
      <c r="A46" s="151"/>
      <c r="B46" s="151" t="str">
        <f ca="1">IFERROR(IF(B44=TRUE,(B43-A43)/360,""),0)</f>
        <v/>
      </c>
      <c r="C46" s="707" t="str">
        <f t="shared" ref="C46:I46" ca="1" si="31">IF(C44=TRUE,(C43-B43)/360,"")</f>
        <v/>
      </c>
      <c r="D46" s="707" t="str">
        <f t="shared" ca="1" si="31"/>
        <v/>
      </c>
      <c r="E46" s="707" t="str">
        <f t="shared" ca="1" si="31"/>
        <v/>
      </c>
      <c r="F46" s="707" t="str">
        <f t="shared" ca="1" si="31"/>
        <v/>
      </c>
      <c r="G46" s="707" t="str">
        <f t="shared" ca="1" si="31"/>
        <v/>
      </c>
      <c r="H46" s="707" t="str">
        <f t="shared" ca="1" si="31"/>
        <v/>
      </c>
      <c r="I46" s="151" t="str">
        <f t="shared" ca="1" si="31"/>
        <v/>
      </c>
      <c r="J46" s="19"/>
      <c r="K46" s="19"/>
      <c r="L46" s="19"/>
      <c r="M46" s="19"/>
      <c r="N46" s="19"/>
      <c r="O46" s="19"/>
      <c r="P46" s="19"/>
      <c r="Q46" s="19"/>
      <c r="R46" s="19"/>
      <c r="S46" s="19"/>
      <c r="T46" s="19"/>
      <c r="U46" s="19"/>
      <c r="V46" s="19"/>
      <c r="W46" s="19"/>
      <c r="X46" s="19"/>
      <c r="Y46" s="19"/>
      <c r="Z46" s="19"/>
      <c r="AA46" s="19"/>
      <c r="AB46" s="19"/>
      <c r="AC46" s="19"/>
      <c r="AD46" s="19"/>
    </row>
    <row r="47" spans="1:30">
      <c r="A47" s="151"/>
      <c r="B47" s="151"/>
      <c r="C47" s="151"/>
      <c r="D47" s="151"/>
      <c r="E47" s="151"/>
      <c r="F47" s="151"/>
      <c r="G47" s="151"/>
      <c r="H47" s="151"/>
      <c r="I47" s="151"/>
      <c r="J47" s="19"/>
      <c r="K47" s="19"/>
      <c r="L47" s="19"/>
      <c r="M47" s="19"/>
      <c r="N47" s="19"/>
      <c r="O47" s="19"/>
      <c r="P47" s="19"/>
      <c r="Q47" s="19"/>
      <c r="R47" s="19"/>
      <c r="S47" s="19"/>
      <c r="T47" s="19"/>
      <c r="U47" s="19"/>
      <c r="V47" s="19"/>
      <c r="W47" s="19"/>
      <c r="X47" s="19"/>
      <c r="Y47" s="19"/>
      <c r="Z47" s="19"/>
      <c r="AA47" s="19"/>
      <c r="AB47" s="19"/>
      <c r="AC47" s="19"/>
      <c r="AD47" s="19"/>
    </row>
    <row r="48" spans="1:30">
      <c r="A48" s="707" t="e">
        <f ca="1">SMALL(B35:I35,COUNTIF(B35:I35,0)+1)</f>
        <v>#NUM!</v>
      </c>
      <c r="B48" s="325">
        <f ca="1">IFERROR(A48/((A48+A49)/360),0)</f>
        <v>0</v>
      </c>
      <c r="C48" s="325" t="s">
        <v>420</v>
      </c>
      <c r="D48" s="39">
        <f ca="1">D49/BO!C16</f>
        <v>0</v>
      </c>
      <c r="E48" s="325"/>
      <c r="F48" s="325"/>
      <c r="G48" s="19"/>
      <c r="H48" s="19"/>
      <c r="I48" s="19"/>
      <c r="J48" s="19"/>
      <c r="K48" s="28"/>
      <c r="L48" s="28"/>
      <c r="M48" s="28"/>
      <c r="N48" s="28"/>
      <c r="O48" s="28"/>
      <c r="P48" s="28"/>
      <c r="Q48" s="28"/>
      <c r="R48" s="28"/>
      <c r="S48" s="28"/>
      <c r="T48" s="28"/>
      <c r="U48" s="28"/>
      <c r="V48" s="74"/>
      <c r="W48" s="19"/>
      <c r="X48" s="19"/>
      <c r="Y48" s="19"/>
      <c r="Z48" s="19"/>
      <c r="AA48" s="19"/>
      <c r="AB48" s="19"/>
      <c r="AC48" s="19"/>
      <c r="AD48" s="19"/>
    </row>
    <row r="49" spans="1:30">
      <c r="A49" s="707" t="e">
        <f ca="1">SMALL(B36:I36,COUNTIF(B36:I36,0)+1)</f>
        <v>#NUM!</v>
      </c>
      <c r="B49" s="49">
        <f ca="1">IFERROR(HLOOKUP(A49,B36:I38,2,FALSE),0)</f>
        <v>0</v>
      </c>
      <c r="C49" s="19" t="s">
        <v>421</v>
      </c>
      <c r="D49" s="254">
        <f ca="1">IFERROR(ROUND(B49*12+B48/30,0),0)</f>
        <v>0</v>
      </c>
      <c r="E49" s="19" t="s">
        <v>422</v>
      </c>
      <c r="F49" s="19"/>
      <c r="G49" s="19"/>
      <c r="H49" s="19"/>
      <c r="I49" s="19"/>
      <c r="J49" s="19"/>
      <c r="K49" s="28"/>
      <c r="L49" s="28"/>
      <c r="M49" s="28"/>
      <c r="N49" s="326"/>
      <c r="O49" s="28"/>
      <c r="P49" s="28"/>
      <c r="Q49" s="28"/>
      <c r="R49" s="28"/>
      <c r="S49" s="28"/>
      <c r="T49" s="28"/>
      <c r="U49" s="28"/>
      <c r="V49" s="19"/>
      <c r="W49" s="19"/>
      <c r="X49" s="19"/>
      <c r="Y49" s="19"/>
      <c r="Z49" s="19"/>
      <c r="AA49" s="19"/>
      <c r="AB49" s="19"/>
      <c r="AC49" s="19"/>
      <c r="AD49" s="19"/>
    </row>
    <row r="50" spans="1:30">
      <c r="A50" s="19"/>
      <c r="B50" s="19"/>
      <c r="C50" s="19"/>
      <c r="D50" s="19"/>
      <c r="E50" s="19"/>
      <c r="F50" s="19"/>
      <c r="G50" s="19"/>
      <c r="H50" s="19"/>
      <c r="I50" s="19"/>
      <c r="J50" s="19"/>
      <c r="K50" s="28"/>
      <c r="L50" s="28"/>
      <c r="M50" s="28"/>
      <c r="N50" s="28"/>
      <c r="O50" s="28"/>
      <c r="P50" s="28"/>
      <c r="Q50" s="28"/>
      <c r="R50" s="28"/>
      <c r="S50" s="28"/>
      <c r="T50" s="28"/>
      <c r="U50" s="28"/>
      <c r="V50" s="28"/>
      <c r="W50" s="28"/>
      <c r="X50" s="19"/>
      <c r="Y50" s="19"/>
      <c r="Z50" s="19"/>
      <c r="AA50" s="19"/>
      <c r="AB50" s="19"/>
      <c r="AC50" s="19"/>
      <c r="AD50" s="19"/>
    </row>
    <row r="51" spans="1:30">
      <c r="A51" s="13" t="s">
        <v>486</v>
      </c>
      <c r="B51" s="13"/>
      <c r="C51" s="13"/>
      <c r="D51" s="13"/>
      <c r="E51" s="13"/>
      <c r="F51" s="13"/>
      <c r="G51" s="172"/>
      <c r="H51" s="19"/>
      <c r="I51" s="19"/>
      <c r="J51" s="19"/>
      <c r="K51" s="28"/>
      <c r="L51" s="28"/>
      <c r="M51" s="28"/>
      <c r="N51" s="326"/>
      <c r="O51" s="326"/>
      <c r="P51" s="326"/>
      <c r="Q51" s="28"/>
      <c r="R51" s="28"/>
      <c r="S51" s="28"/>
      <c r="T51" s="28"/>
      <c r="U51" s="28"/>
      <c r="V51" s="422"/>
      <c r="W51" s="28"/>
      <c r="X51" s="19"/>
      <c r="Y51" s="19"/>
      <c r="Z51" s="19"/>
      <c r="AA51" s="19"/>
      <c r="AB51" s="19"/>
      <c r="AC51" s="19"/>
      <c r="AD51" s="19"/>
    </row>
    <row r="52" spans="1:30">
      <c r="A52" s="151"/>
      <c r="B52" s="151"/>
      <c r="C52" s="151"/>
      <c r="D52" s="151"/>
      <c r="E52" s="151"/>
      <c r="F52" s="151"/>
      <c r="G52" s="151"/>
      <c r="H52" s="151"/>
      <c r="I52" s="151"/>
      <c r="J52" s="19"/>
      <c r="K52" s="28"/>
      <c r="L52" s="28"/>
      <c r="M52" s="28"/>
      <c r="N52" s="326"/>
      <c r="O52" s="326"/>
      <c r="P52" s="326"/>
      <c r="Q52" s="28"/>
      <c r="R52" s="28"/>
      <c r="S52" s="28"/>
      <c r="T52" s="28"/>
      <c r="U52" s="28"/>
      <c r="V52" s="28"/>
      <c r="W52" s="28"/>
      <c r="X52" s="19"/>
      <c r="Y52" s="19"/>
      <c r="Z52" s="19"/>
      <c r="AA52" s="19"/>
      <c r="AB52" s="19"/>
      <c r="AC52" s="19"/>
      <c r="AD52" s="19"/>
    </row>
    <row r="53" spans="1:30">
      <c r="A53" s="151"/>
      <c r="B53" s="707">
        <f ca="1">IF(B61&lt;0,-B61,0)</f>
        <v>0</v>
      </c>
      <c r="C53" s="707">
        <f t="shared" ref="C53:I53" ca="1" si="32">IF(C61&lt;0,-C61,0)</f>
        <v>0</v>
      </c>
      <c r="D53" s="707">
        <f t="shared" ca="1" si="32"/>
        <v>0</v>
      </c>
      <c r="E53" s="707">
        <f t="shared" ca="1" si="32"/>
        <v>0</v>
      </c>
      <c r="F53" s="707">
        <f t="shared" ca="1" si="32"/>
        <v>0</v>
      </c>
      <c r="G53" s="707">
        <f t="shared" ca="1" si="32"/>
        <v>0</v>
      </c>
      <c r="H53" s="707">
        <f t="shared" ca="1" si="32"/>
        <v>0</v>
      </c>
      <c r="I53" s="707">
        <f t="shared" ca="1" si="32"/>
        <v>0</v>
      </c>
      <c r="J53" s="19"/>
      <c r="K53" s="28"/>
      <c r="L53" s="28"/>
      <c r="M53" s="28"/>
      <c r="N53" s="326"/>
      <c r="O53" s="326"/>
      <c r="P53" s="326"/>
      <c r="Q53" s="28"/>
      <c r="R53" s="28"/>
      <c r="S53" s="28"/>
      <c r="T53" s="28"/>
      <c r="U53" s="28"/>
      <c r="V53" s="28"/>
      <c r="W53" s="28"/>
      <c r="X53" s="19"/>
      <c r="Y53" s="19"/>
      <c r="Z53" s="19"/>
      <c r="AA53" s="19"/>
      <c r="AB53" s="19"/>
      <c r="AC53" s="19"/>
      <c r="AD53" s="19"/>
    </row>
    <row r="54" spans="1:30">
      <c r="A54" s="151"/>
      <c r="B54" s="151">
        <f ca="1">IF(B61&gt;0,B61,0)</f>
        <v>0</v>
      </c>
      <c r="C54" s="151">
        <f t="shared" ref="C54:I54" ca="1" si="33">IF(C61&gt;0,C61,0)</f>
        <v>0</v>
      </c>
      <c r="D54" s="151">
        <f t="shared" ca="1" si="33"/>
        <v>0</v>
      </c>
      <c r="E54" s="707">
        <f t="shared" ca="1" si="33"/>
        <v>0</v>
      </c>
      <c r="F54" s="707">
        <f t="shared" ca="1" si="33"/>
        <v>0</v>
      </c>
      <c r="G54" s="707">
        <f t="shared" ca="1" si="33"/>
        <v>0</v>
      </c>
      <c r="H54" s="707">
        <f t="shared" ca="1" si="33"/>
        <v>0</v>
      </c>
      <c r="I54" s="707">
        <f t="shared" ca="1" si="33"/>
        <v>0</v>
      </c>
      <c r="J54" s="19"/>
      <c r="K54" s="28"/>
      <c r="L54" s="28"/>
      <c r="M54" s="28"/>
      <c r="N54" s="423"/>
      <c r="O54" s="423"/>
      <c r="P54" s="423"/>
      <c r="Q54" s="28"/>
      <c r="R54" s="28"/>
      <c r="S54" s="28"/>
      <c r="T54" s="28"/>
      <c r="U54" s="28"/>
      <c r="V54" s="28"/>
      <c r="W54" s="28"/>
      <c r="X54" s="19"/>
      <c r="Y54" s="19"/>
      <c r="Z54" s="19"/>
      <c r="AA54" s="19"/>
      <c r="AB54" s="19"/>
      <c r="AC54" s="19"/>
      <c r="AD54" s="19"/>
    </row>
    <row r="55" spans="1:30">
      <c r="A55" s="151"/>
      <c r="B55" s="151"/>
      <c r="C55" s="708">
        <v>1</v>
      </c>
      <c r="D55" s="708">
        <v>2</v>
      </c>
      <c r="E55" s="708">
        <v>3</v>
      </c>
      <c r="F55" s="708">
        <v>4</v>
      </c>
      <c r="G55" s="708">
        <v>5</v>
      </c>
      <c r="H55" s="708">
        <v>6</v>
      </c>
      <c r="I55" s="708">
        <v>7</v>
      </c>
      <c r="J55" s="19"/>
      <c r="K55" s="28"/>
      <c r="L55" s="28"/>
      <c r="M55" s="28"/>
      <c r="N55" s="326"/>
      <c r="O55" s="326"/>
      <c r="P55" s="326"/>
      <c r="Q55" s="28"/>
      <c r="R55" s="28"/>
      <c r="S55" s="28"/>
      <c r="T55" s="28"/>
      <c r="U55" s="28"/>
      <c r="V55" s="28"/>
      <c r="W55" s="28"/>
      <c r="X55" s="19"/>
      <c r="Y55" s="19"/>
      <c r="Z55" s="19"/>
      <c r="AA55" s="19"/>
      <c r="AB55" s="19"/>
      <c r="AC55" s="19"/>
      <c r="AD55" s="19"/>
    </row>
    <row r="56" spans="1:30">
      <c r="A56" s="19"/>
      <c r="B56" s="75" t="str">
        <f t="shared" ref="B56:I56" si="34">B38</f>
        <v>Début An1</v>
      </c>
      <c r="C56" s="75" t="str">
        <f t="shared" si="34"/>
        <v>Fin An1</v>
      </c>
      <c r="D56" s="75" t="str">
        <f t="shared" si="34"/>
        <v>Fin An2</v>
      </c>
      <c r="E56" s="75" t="str">
        <f t="shared" si="34"/>
        <v>Fin An3</v>
      </c>
      <c r="F56" s="75" t="str">
        <f t="shared" si="34"/>
        <v>Fin An4</v>
      </c>
      <c r="G56" s="75" t="str">
        <f t="shared" si="34"/>
        <v>Fin An5</v>
      </c>
      <c r="H56" s="75" t="str">
        <f t="shared" si="34"/>
        <v>Fin An6</v>
      </c>
      <c r="I56" s="75" t="str">
        <f t="shared" si="34"/>
        <v>Fin An7</v>
      </c>
      <c r="J56" s="19"/>
      <c r="K56" s="28"/>
      <c r="L56" s="28"/>
      <c r="M56" s="28"/>
      <c r="N56" s="422"/>
      <c r="O56" s="422"/>
      <c r="P56" s="422"/>
      <c r="Q56" s="28"/>
      <c r="R56" s="28"/>
      <c r="S56" s="28"/>
      <c r="T56" s="28"/>
      <c r="U56" s="28"/>
      <c r="V56" s="28"/>
      <c r="W56" s="28"/>
      <c r="X56" s="19"/>
      <c r="Y56" s="19"/>
      <c r="Z56" s="19"/>
      <c r="AA56" s="19"/>
      <c r="AB56" s="19"/>
      <c r="AC56" s="19"/>
      <c r="AD56" s="19"/>
    </row>
    <row r="57" spans="1:30">
      <c r="A57" s="141" t="s">
        <v>487</v>
      </c>
      <c r="B57" s="276">
        <f t="shared" ref="B57:I57" si="35">B26</f>
        <v>0</v>
      </c>
      <c r="C57" s="276">
        <f t="shared" si="35"/>
        <v>0</v>
      </c>
      <c r="D57" s="276">
        <f t="shared" si="35"/>
        <v>0</v>
      </c>
      <c r="E57" s="276">
        <f t="shared" si="35"/>
        <v>0</v>
      </c>
      <c r="F57" s="276">
        <f t="shared" si="35"/>
        <v>0</v>
      </c>
      <c r="G57" s="276">
        <f t="shared" si="35"/>
        <v>0</v>
      </c>
      <c r="H57" s="276">
        <f t="shared" si="35"/>
        <v>0</v>
      </c>
      <c r="I57" s="276">
        <f t="shared" si="35"/>
        <v>0</v>
      </c>
      <c r="J57" s="19"/>
      <c r="K57" s="28"/>
      <c r="L57" s="28"/>
      <c r="M57" s="28"/>
      <c r="N57" s="424"/>
      <c r="O57" s="424"/>
      <c r="P57" s="424"/>
      <c r="Q57" s="28"/>
      <c r="R57" s="28"/>
      <c r="S57" s="28"/>
      <c r="T57" s="28"/>
      <c r="U57" s="28"/>
      <c r="V57" s="28"/>
      <c r="W57" s="28"/>
      <c r="X57" s="19"/>
      <c r="Y57" s="19"/>
      <c r="Z57" s="19"/>
      <c r="AA57" s="19"/>
      <c r="AB57" s="19"/>
      <c r="AC57" s="19"/>
      <c r="AD57" s="19"/>
    </row>
    <row r="58" spans="1:30">
      <c r="A58" s="141" t="str">
        <f t="shared" ref="A58:I58" si="36">A39</f>
        <v>FNT Emprunt act</v>
      </c>
      <c r="B58" s="141">
        <f t="shared" si="36"/>
        <v>0</v>
      </c>
      <c r="C58" s="141">
        <f t="shared" si="36"/>
        <v>0</v>
      </c>
      <c r="D58" s="141">
        <f t="shared" si="36"/>
        <v>0</v>
      </c>
      <c r="E58" s="141">
        <f t="shared" si="36"/>
        <v>0</v>
      </c>
      <c r="F58" s="141">
        <f t="shared" si="36"/>
        <v>0</v>
      </c>
      <c r="G58" s="141">
        <f t="shared" si="36"/>
        <v>0</v>
      </c>
      <c r="H58" s="141">
        <f t="shared" si="36"/>
        <v>0</v>
      </c>
      <c r="I58" s="141">
        <f t="shared" si="36"/>
        <v>0</v>
      </c>
      <c r="J58" s="19"/>
      <c r="K58" s="28"/>
      <c r="L58" s="28"/>
      <c r="M58" s="28"/>
      <c r="N58" s="425"/>
      <c r="O58" s="423"/>
      <c r="P58" s="423"/>
      <c r="Q58" s="28"/>
      <c r="R58" s="28"/>
      <c r="S58" s="28"/>
      <c r="T58" s="28"/>
      <c r="U58" s="28"/>
      <c r="V58" s="28"/>
      <c r="W58" s="28"/>
      <c r="X58" s="19"/>
      <c r="Y58" s="19"/>
      <c r="Z58" s="19"/>
      <c r="AA58" s="19"/>
      <c r="AB58" s="19"/>
      <c r="AC58" s="19"/>
      <c r="AD58" s="19"/>
    </row>
    <row r="59" spans="1:30">
      <c r="A59" s="141" t="str">
        <f t="shared" ref="A59:I59" si="37">A41</f>
        <v>FNT Projet act</v>
      </c>
      <c r="B59" s="141">
        <f t="shared" ca="1" si="37"/>
        <v>0</v>
      </c>
      <c r="C59" s="141">
        <f t="shared" ca="1" si="37"/>
        <v>0</v>
      </c>
      <c r="D59" s="141">
        <f t="shared" ca="1" si="37"/>
        <v>0</v>
      </c>
      <c r="E59" s="141">
        <f t="shared" ca="1" si="37"/>
        <v>0</v>
      </c>
      <c r="F59" s="141">
        <f t="shared" ca="1" si="37"/>
        <v>0</v>
      </c>
      <c r="G59" s="141">
        <f t="shared" ca="1" si="37"/>
        <v>0</v>
      </c>
      <c r="H59" s="141">
        <f t="shared" ca="1" si="37"/>
        <v>0</v>
      </c>
      <c r="I59" s="141">
        <f t="shared" ca="1" si="37"/>
        <v>0</v>
      </c>
      <c r="J59" s="19"/>
      <c r="K59" s="28"/>
      <c r="L59" s="28"/>
      <c r="M59" s="28"/>
      <c r="N59" s="28"/>
      <c r="O59" s="28"/>
      <c r="P59" s="28"/>
      <c r="Q59" s="28"/>
      <c r="R59" s="28"/>
      <c r="S59" s="28"/>
      <c r="T59" s="28"/>
      <c r="U59" s="28"/>
      <c r="V59" s="28"/>
      <c r="W59" s="28"/>
      <c r="X59" s="19"/>
      <c r="Y59" s="19"/>
      <c r="Z59" s="19"/>
      <c r="AA59" s="19"/>
      <c r="AB59" s="19"/>
      <c r="AC59" s="19"/>
      <c r="AD59" s="19"/>
    </row>
    <row r="60" spans="1:30">
      <c r="A60" s="141" t="s">
        <v>484</v>
      </c>
      <c r="B60" s="276">
        <f ca="1">B57+B59+B58</f>
        <v>0</v>
      </c>
      <c r="C60" s="276">
        <f t="shared" ref="C60:I60" ca="1" si="38">C57+C59+C58</f>
        <v>0</v>
      </c>
      <c r="D60" s="276">
        <f t="shared" ca="1" si="38"/>
        <v>0</v>
      </c>
      <c r="E60" s="276">
        <f t="shared" ca="1" si="38"/>
        <v>0</v>
      </c>
      <c r="F60" s="276">
        <f t="shared" ca="1" si="38"/>
        <v>0</v>
      </c>
      <c r="G60" s="276">
        <f t="shared" ca="1" si="38"/>
        <v>0</v>
      </c>
      <c r="H60" s="276">
        <f t="shared" ca="1" si="38"/>
        <v>0</v>
      </c>
      <c r="I60" s="276">
        <f t="shared" ca="1" si="38"/>
        <v>0</v>
      </c>
      <c r="J60" s="19"/>
      <c r="K60" s="28"/>
      <c r="L60" s="28"/>
      <c r="M60" s="28"/>
      <c r="N60" s="28"/>
      <c r="O60" s="28"/>
      <c r="P60" s="28"/>
      <c r="Q60" s="28"/>
      <c r="R60" s="28"/>
      <c r="S60" s="28"/>
      <c r="T60" s="28"/>
      <c r="U60" s="28"/>
      <c r="V60" s="28"/>
      <c r="W60" s="28"/>
      <c r="X60" s="19"/>
      <c r="Y60" s="19"/>
      <c r="Z60" s="19"/>
      <c r="AA60" s="19"/>
      <c r="AB60" s="19"/>
      <c r="AC60" s="19"/>
      <c r="AD60" s="19"/>
    </row>
    <row r="61" spans="1:30">
      <c r="A61" s="141" t="s">
        <v>485</v>
      </c>
      <c r="B61" s="276">
        <f ca="1">B60</f>
        <v>0</v>
      </c>
      <c r="C61" s="276">
        <f ca="1">B61+C60</f>
        <v>0</v>
      </c>
      <c r="D61" s="276">
        <f t="shared" ref="D61:I61" ca="1" si="39">C61+D60</f>
        <v>0</v>
      </c>
      <c r="E61" s="276">
        <f t="shared" ca="1" si="39"/>
        <v>0</v>
      </c>
      <c r="F61" s="276">
        <f t="shared" ca="1" si="39"/>
        <v>0</v>
      </c>
      <c r="G61" s="276">
        <f t="shared" ca="1" si="39"/>
        <v>0</v>
      </c>
      <c r="H61" s="276">
        <f t="shared" ca="1" si="39"/>
        <v>0</v>
      </c>
      <c r="I61" s="276">
        <f t="shared" ca="1" si="39"/>
        <v>0</v>
      </c>
      <c r="J61" s="19"/>
      <c r="K61" s="28"/>
      <c r="L61" s="28"/>
      <c r="M61" s="28"/>
      <c r="N61" s="28"/>
      <c r="O61" s="28"/>
      <c r="P61" s="28"/>
      <c r="Q61" s="28"/>
      <c r="R61" s="28"/>
      <c r="S61" s="28"/>
      <c r="T61" s="28"/>
      <c r="U61" s="28"/>
      <c r="V61" s="28"/>
      <c r="W61" s="28"/>
      <c r="X61" s="19"/>
      <c r="Y61" s="19"/>
      <c r="Z61" s="19"/>
      <c r="AA61" s="19"/>
      <c r="AB61" s="19"/>
      <c r="AC61" s="19"/>
      <c r="AD61" s="19"/>
    </row>
    <row r="62" spans="1:30">
      <c r="A62" s="151"/>
      <c r="B62" s="151" t="b">
        <f ca="1">IF(B61&gt;0,TRUE,FALSE)</f>
        <v>0</v>
      </c>
      <c r="C62" s="151" t="b">
        <f t="shared" ref="C62:I62" ca="1" si="40">IF(C61&gt;0,TRUE,FALSE)</f>
        <v>0</v>
      </c>
      <c r="D62" s="151" t="b">
        <f t="shared" ca="1" si="40"/>
        <v>0</v>
      </c>
      <c r="E62" s="151" t="b">
        <f t="shared" ca="1" si="40"/>
        <v>0</v>
      </c>
      <c r="F62" s="151" t="b">
        <f t="shared" ca="1" si="40"/>
        <v>0</v>
      </c>
      <c r="G62" s="151" t="b">
        <f t="shared" ca="1" si="40"/>
        <v>0</v>
      </c>
      <c r="H62" s="151" t="b">
        <f t="shared" ca="1" si="40"/>
        <v>0</v>
      </c>
      <c r="I62" s="151" t="b">
        <f t="shared" ca="1" si="40"/>
        <v>0</v>
      </c>
      <c r="J62" s="151"/>
      <c r="K62" s="28"/>
      <c r="L62" s="28"/>
      <c r="M62" s="28"/>
      <c r="N62" s="28"/>
      <c r="O62" s="28"/>
      <c r="P62" s="28"/>
      <c r="Q62" s="28"/>
      <c r="R62" s="28"/>
      <c r="S62" s="28"/>
      <c r="T62" s="28"/>
      <c r="U62" s="28"/>
      <c r="V62" s="28"/>
      <c r="W62" s="28"/>
      <c r="X62" s="19"/>
      <c r="Y62" s="19"/>
      <c r="Z62" s="19"/>
      <c r="AA62" s="19"/>
      <c r="AB62" s="19"/>
      <c r="AC62" s="19"/>
      <c r="AD62" s="19"/>
    </row>
    <row r="63" spans="1:30">
      <c r="A63" s="151"/>
      <c r="B63" s="151" t="str">
        <f ca="1">IF(B62=TRUE,-A61,"")</f>
        <v/>
      </c>
      <c r="C63" s="151" t="str">
        <f t="shared" ref="C63:I63" ca="1" si="41">IF(C62=TRUE,-B61,"")</f>
        <v/>
      </c>
      <c r="D63" s="151" t="str">
        <f t="shared" ca="1" si="41"/>
        <v/>
      </c>
      <c r="E63" s="707" t="str">
        <f t="shared" ca="1" si="41"/>
        <v/>
      </c>
      <c r="F63" s="707" t="str">
        <f t="shared" ca="1" si="41"/>
        <v/>
      </c>
      <c r="G63" s="707" t="str">
        <f t="shared" ca="1" si="41"/>
        <v/>
      </c>
      <c r="H63" s="707" t="str">
        <f t="shared" ca="1" si="41"/>
        <v/>
      </c>
      <c r="I63" s="707" t="str">
        <f t="shared" ca="1" si="41"/>
        <v/>
      </c>
      <c r="J63" s="151"/>
      <c r="K63" s="28"/>
      <c r="L63" s="28"/>
      <c r="M63" s="28"/>
      <c r="N63" s="28"/>
      <c r="O63" s="28"/>
      <c r="P63" s="28"/>
      <c r="Q63" s="28"/>
      <c r="R63" s="28"/>
      <c r="S63" s="28"/>
      <c r="T63" s="28"/>
      <c r="U63" s="28"/>
      <c r="V63" s="28"/>
      <c r="W63" s="28"/>
      <c r="X63" s="19"/>
      <c r="Y63" s="19"/>
      <c r="Z63" s="19"/>
      <c r="AA63" s="19"/>
      <c r="AB63" s="19"/>
      <c r="AC63" s="19"/>
      <c r="AD63" s="19"/>
    </row>
    <row r="64" spans="1:30">
      <c r="A64" s="151"/>
      <c r="B64" s="151" t="str">
        <f ca="1">IF(B62=TRUE,(B61-A61)/360,"")</f>
        <v/>
      </c>
      <c r="C64" s="151" t="str">
        <f t="shared" ref="C64:I64" ca="1" si="42">IF(C62=TRUE,(C61-B61)/360,"")</f>
        <v/>
      </c>
      <c r="D64" s="151" t="str">
        <f t="shared" ca="1" si="42"/>
        <v/>
      </c>
      <c r="E64" s="707" t="str">
        <f t="shared" ca="1" si="42"/>
        <v/>
      </c>
      <c r="F64" s="707" t="str">
        <f t="shared" ca="1" si="42"/>
        <v/>
      </c>
      <c r="G64" s="707" t="str">
        <f t="shared" ca="1" si="42"/>
        <v/>
      </c>
      <c r="H64" s="707" t="str">
        <f t="shared" ca="1" si="42"/>
        <v/>
      </c>
      <c r="I64" s="151" t="str">
        <f t="shared" ca="1" si="42"/>
        <v/>
      </c>
      <c r="J64" s="151"/>
      <c r="K64" s="28"/>
      <c r="L64" s="28"/>
      <c r="M64" s="28"/>
      <c r="N64" s="28"/>
      <c r="O64" s="28"/>
      <c r="P64" s="28"/>
      <c r="Q64" s="28"/>
      <c r="R64" s="28"/>
      <c r="S64" s="28"/>
      <c r="T64" s="28"/>
      <c r="U64" s="28"/>
      <c r="V64" s="28"/>
      <c r="W64" s="28"/>
      <c r="X64" s="19"/>
      <c r="Y64" s="19"/>
      <c r="Z64" s="19"/>
      <c r="AA64" s="19"/>
      <c r="AB64" s="19"/>
      <c r="AC64" s="19"/>
      <c r="AD64" s="19"/>
    </row>
    <row r="65" spans="1:30">
      <c r="A65" s="151"/>
      <c r="B65" s="19"/>
      <c r="C65" s="19"/>
      <c r="D65" s="19"/>
      <c r="E65" s="19"/>
      <c r="F65" s="19"/>
      <c r="G65" s="19"/>
      <c r="H65" s="19"/>
      <c r="I65" s="19"/>
      <c r="J65" s="19"/>
      <c r="K65" s="28"/>
      <c r="L65" s="28"/>
      <c r="M65" s="28"/>
      <c r="N65" s="28"/>
      <c r="O65" s="28"/>
      <c r="P65" s="28"/>
      <c r="Q65" s="28"/>
      <c r="R65" s="28"/>
      <c r="S65" s="28"/>
      <c r="T65" s="28"/>
      <c r="U65" s="28"/>
      <c r="V65" s="28"/>
      <c r="W65" s="28"/>
      <c r="X65" s="19"/>
      <c r="Y65" s="19"/>
      <c r="Z65" s="19"/>
      <c r="AA65" s="19"/>
      <c r="AB65" s="19"/>
      <c r="AC65" s="19"/>
      <c r="AD65" s="19"/>
    </row>
    <row r="66" spans="1:30">
      <c r="A66" s="707" t="e">
        <f ca="1">SMALL(B53:I53,COUNTIF(B53:I53,0)+1)</f>
        <v>#NUM!</v>
      </c>
      <c r="B66" s="325">
        <f ca="1">IFERROR(A66/((A66+A67)/360),0)</f>
        <v>0</v>
      </c>
      <c r="C66" s="325" t="s">
        <v>420</v>
      </c>
      <c r="D66" s="39">
        <f ca="1">D67/BO!C16</f>
        <v>0</v>
      </c>
      <c r="E66" s="325"/>
      <c r="F66" s="325"/>
      <c r="G66" s="19"/>
      <c r="H66" s="19"/>
      <c r="I66" s="19"/>
      <c r="J66" s="19"/>
      <c r="K66" s="28"/>
      <c r="L66" s="28"/>
      <c r="M66" s="28"/>
      <c r="N66" s="28"/>
      <c r="O66" s="28"/>
      <c r="P66" s="28"/>
      <c r="Q66" s="28"/>
      <c r="R66" s="28"/>
      <c r="S66" s="28"/>
      <c r="T66" s="28"/>
      <c r="U66" s="28"/>
      <c r="V66" s="28"/>
      <c r="W66" s="28"/>
      <c r="X66" s="19"/>
      <c r="Y66" s="19"/>
      <c r="Z66" s="19"/>
      <c r="AA66" s="19"/>
      <c r="AB66" s="19"/>
      <c r="AC66" s="19"/>
      <c r="AD66" s="19"/>
    </row>
    <row r="67" spans="1:30">
      <c r="A67" s="707" t="e">
        <f ca="1">SMALL(B54:I54,COUNTIF(B54:I54,0)+1)</f>
        <v>#NUM!</v>
      </c>
      <c r="B67" s="49">
        <f ca="1">IFERROR(HLOOKUP(A67,B54:I56,2,FALSE),0)</f>
        <v>0</v>
      </c>
      <c r="C67" s="19" t="s">
        <v>421</v>
      </c>
      <c r="D67" s="201">
        <f ca="1">IFERROR(ROUND(B67*12+B66/30,0),0)</f>
        <v>0</v>
      </c>
      <c r="E67" s="19" t="s">
        <v>422</v>
      </c>
      <c r="F67" s="19"/>
      <c r="G67" s="19"/>
      <c r="H67" s="19"/>
      <c r="I67" s="19"/>
      <c r="J67" s="19"/>
      <c r="K67" s="28"/>
      <c r="L67" s="28"/>
      <c r="M67" s="28"/>
      <c r="N67" s="28"/>
      <c r="O67" s="28"/>
      <c r="P67" s="28"/>
      <c r="Q67" s="28"/>
      <c r="R67" s="28"/>
      <c r="S67" s="28"/>
      <c r="T67" s="28"/>
      <c r="U67" s="28"/>
      <c r="V67" s="28"/>
      <c r="W67" s="28"/>
      <c r="X67" s="19"/>
      <c r="Y67" s="19"/>
      <c r="Z67" s="19"/>
      <c r="AA67" s="19"/>
      <c r="AB67" s="19"/>
      <c r="AC67" s="19"/>
      <c r="AD67" s="19"/>
    </row>
    <row r="68" spans="1:30">
      <c r="A68" s="151"/>
      <c r="B68" s="19"/>
      <c r="C68" s="19"/>
      <c r="D68" s="19"/>
      <c r="E68" s="19"/>
      <c r="F68" s="19"/>
      <c r="G68" s="19"/>
      <c r="H68" s="19"/>
      <c r="I68" s="19"/>
      <c r="J68" s="19"/>
      <c r="K68" s="28"/>
      <c r="L68" s="28"/>
      <c r="M68" s="28"/>
      <c r="N68" s="28"/>
      <c r="O68" s="28"/>
      <c r="P68" s="28"/>
      <c r="Q68" s="28"/>
      <c r="R68" s="28"/>
      <c r="S68" s="28"/>
      <c r="T68" s="28"/>
      <c r="U68" s="28"/>
      <c r="V68" s="28"/>
      <c r="W68" s="28"/>
      <c r="X68" s="19"/>
      <c r="Y68" s="19"/>
      <c r="Z68" s="19"/>
      <c r="AA68" s="19"/>
      <c r="AB68" s="19"/>
      <c r="AC68" s="19"/>
      <c r="AD68" s="19"/>
    </row>
    <row r="69" spans="1:30">
      <c r="A69" s="689"/>
      <c r="B69" s="17"/>
      <c r="C69" s="17"/>
      <c r="D69" s="17"/>
      <c r="E69" s="17"/>
      <c r="F69" s="17"/>
      <c r="G69" s="17"/>
      <c r="H69" s="17"/>
      <c r="I69" s="17"/>
      <c r="J69" s="19"/>
      <c r="K69" s="19"/>
      <c r="L69" s="28"/>
      <c r="M69" s="28"/>
      <c r="N69" s="28"/>
      <c r="O69" s="28"/>
      <c r="P69" s="28"/>
      <c r="Q69" s="28"/>
      <c r="R69" s="28"/>
      <c r="S69" s="28"/>
      <c r="T69" s="28"/>
      <c r="U69" s="28"/>
      <c r="V69" s="28"/>
      <c r="W69" s="28"/>
      <c r="X69" s="19"/>
      <c r="Y69" s="19"/>
      <c r="Z69" s="19"/>
      <c r="AA69" s="19"/>
      <c r="AB69" s="19"/>
      <c r="AC69" s="19"/>
      <c r="AD69" s="19"/>
    </row>
    <row r="70" spans="1:30">
      <c r="A70" s="28"/>
      <c r="B70" s="28"/>
      <c r="C70" s="327"/>
      <c r="D70" s="327"/>
      <c r="E70" s="327"/>
      <c r="F70" s="327"/>
      <c r="G70" s="327"/>
      <c r="H70" s="327"/>
      <c r="I70" s="17"/>
      <c r="J70" s="19"/>
      <c r="K70" s="19"/>
      <c r="L70" s="28"/>
      <c r="M70" s="28"/>
      <c r="N70" s="28"/>
      <c r="O70" s="28"/>
      <c r="P70" s="28"/>
      <c r="Q70" s="28"/>
      <c r="R70" s="28"/>
      <c r="S70" s="28"/>
      <c r="T70" s="28"/>
      <c r="U70" s="28"/>
      <c r="V70" s="28"/>
      <c r="W70" s="28"/>
      <c r="X70" s="19"/>
      <c r="Y70" s="19"/>
      <c r="Z70" s="19"/>
      <c r="AA70" s="19"/>
      <c r="AB70" s="19"/>
      <c r="AC70" s="19"/>
      <c r="AD70" s="19"/>
    </row>
    <row r="71" spans="1:30">
      <c r="A71" s="28"/>
      <c r="B71" s="28"/>
      <c r="C71" s="327"/>
      <c r="D71" s="327"/>
      <c r="E71" s="327"/>
      <c r="F71" s="327"/>
      <c r="G71" s="327"/>
      <c r="H71" s="327"/>
      <c r="I71" s="17"/>
      <c r="J71" s="19"/>
      <c r="K71" s="19"/>
      <c r="L71" s="28"/>
      <c r="M71" s="28"/>
      <c r="N71" s="28"/>
      <c r="O71" s="28"/>
      <c r="P71" s="28"/>
      <c r="Q71" s="28"/>
      <c r="R71" s="28"/>
      <c r="S71" s="28"/>
      <c r="T71" s="28"/>
      <c r="U71" s="28"/>
      <c r="V71" s="28"/>
      <c r="W71" s="28"/>
      <c r="X71" s="19"/>
      <c r="Y71" s="19"/>
      <c r="Z71" s="19"/>
      <c r="AA71" s="19"/>
      <c r="AB71" s="19"/>
      <c r="AC71" s="19"/>
      <c r="AD71" s="19"/>
    </row>
    <row r="72" spans="1:30">
      <c r="A72" s="28"/>
      <c r="B72" s="28"/>
      <c r="C72" s="328"/>
      <c r="D72" s="328"/>
      <c r="E72" s="328"/>
      <c r="F72" s="328"/>
      <c r="G72" s="328"/>
      <c r="H72" s="328"/>
      <c r="I72" s="17"/>
      <c r="J72" s="19"/>
      <c r="K72" s="19"/>
      <c r="L72" s="19"/>
      <c r="M72" s="19"/>
      <c r="N72" s="19"/>
      <c r="O72" s="19"/>
      <c r="P72" s="19"/>
      <c r="Q72" s="19"/>
      <c r="R72" s="19"/>
      <c r="S72" s="19"/>
      <c r="T72" s="19"/>
      <c r="U72" s="28"/>
      <c r="V72" s="28"/>
      <c r="W72" s="28"/>
      <c r="X72" s="19"/>
      <c r="Y72" s="19"/>
      <c r="Z72" s="19"/>
      <c r="AA72" s="19"/>
      <c r="AB72" s="19"/>
      <c r="AC72" s="19"/>
      <c r="AD72" s="19"/>
    </row>
    <row r="73" spans="1:30">
      <c r="A73" s="28"/>
      <c r="B73" s="28"/>
      <c r="C73" s="328"/>
      <c r="D73" s="328"/>
      <c r="E73" s="328"/>
      <c r="F73" s="328"/>
      <c r="G73" s="328"/>
      <c r="H73" s="328"/>
      <c r="I73" s="17"/>
      <c r="J73" s="19"/>
      <c r="K73" s="19"/>
      <c r="L73" s="19"/>
      <c r="M73" s="19"/>
      <c r="N73" s="19"/>
      <c r="O73" s="19"/>
      <c r="P73" s="19"/>
      <c r="Q73" s="19"/>
      <c r="R73" s="19"/>
      <c r="S73" s="19"/>
      <c r="T73" s="19"/>
      <c r="U73" s="19"/>
      <c r="V73" s="28"/>
      <c r="W73" s="28"/>
      <c r="X73" s="19"/>
      <c r="Y73" s="19"/>
      <c r="Z73" s="19"/>
      <c r="AA73" s="19"/>
      <c r="AB73" s="19"/>
      <c r="AC73" s="19"/>
      <c r="AD73" s="19"/>
    </row>
    <row r="74" spans="1:30">
      <c r="A74" s="28"/>
      <c r="B74" s="28"/>
      <c r="C74" s="28"/>
      <c r="D74" s="28"/>
      <c r="E74" s="28"/>
      <c r="F74" s="28"/>
      <c r="G74" s="28"/>
      <c r="H74" s="28"/>
      <c r="I74" s="17"/>
      <c r="J74" s="19"/>
      <c r="K74" s="19"/>
      <c r="L74" s="19"/>
      <c r="M74" s="19"/>
      <c r="N74" s="19"/>
      <c r="O74" s="19"/>
      <c r="P74" s="19"/>
      <c r="Q74" s="19"/>
      <c r="R74" s="19"/>
      <c r="S74" s="19"/>
      <c r="T74" s="19"/>
      <c r="U74" s="19"/>
      <c r="V74" s="28"/>
      <c r="W74" s="19"/>
      <c r="X74" s="19"/>
      <c r="Y74" s="19"/>
      <c r="Z74" s="19"/>
      <c r="AA74" s="19"/>
      <c r="AB74" s="19"/>
      <c r="AC74" s="19"/>
      <c r="AD74" s="19"/>
    </row>
    <row r="75" spans="1:30">
      <c r="A75" s="28"/>
      <c r="B75" s="28"/>
      <c r="C75" s="28"/>
      <c r="D75" s="28"/>
      <c r="E75" s="28"/>
      <c r="F75" s="28"/>
      <c r="G75" s="28"/>
      <c r="H75" s="28"/>
      <c r="I75" s="17"/>
      <c r="J75" s="19"/>
      <c r="K75" s="19"/>
      <c r="L75" s="19"/>
      <c r="M75" s="19"/>
      <c r="N75" s="19"/>
      <c r="O75" s="19"/>
      <c r="P75" s="19"/>
      <c r="Q75" s="19"/>
      <c r="R75" s="19"/>
      <c r="S75" s="19"/>
      <c r="T75" s="19"/>
      <c r="U75" s="19"/>
      <c r="V75" s="19"/>
      <c r="W75" s="19"/>
      <c r="X75" s="19"/>
      <c r="Y75" s="19"/>
      <c r="Z75" s="19"/>
      <c r="AA75" s="19"/>
      <c r="AB75" s="19"/>
      <c r="AC75" s="19"/>
      <c r="AD75" s="19"/>
    </row>
    <row r="76" spans="1:30">
      <c r="A76" s="28"/>
      <c r="B76" s="28"/>
      <c r="C76" s="28"/>
      <c r="D76" s="28"/>
      <c r="E76" s="28"/>
      <c r="F76" s="28"/>
      <c r="G76" s="28"/>
      <c r="H76" s="28"/>
      <c r="I76" s="17"/>
      <c r="J76" s="19"/>
      <c r="K76" s="19"/>
      <c r="L76" s="19"/>
      <c r="M76" s="19"/>
      <c r="N76" s="19"/>
      <c r="O76" s="19"/>
      <c r="P76" s="19"/>
      <c r="Q76" s="19"/>
      <c r="R76" s="19"/>
      <c r="S76" s="19"/>
      <c r="T76" s="19"/>
      <c r="U76" s="19"/>
      <c r="V76" s="19"/>
      <c r="W76" s="19"/>
      <c r="X76" s="19"/>
      <c r="Y76" s="19"/>
      <c r="Z76" s="19"/>
      <c r="AA76" s="19"/>
      <c r="AB76" s="19"/>
      <c r="AC76" s="19"/>
      <c r="AD76" s="19"/>
    </row>
    <row r="77" spans="1:30">
      <c r="A77" s="29"/>
      <c r="B77" s="29"/>
      <c r="C77" s="29"/>
      <c r="D77" s="29"/>
      <c r="E77" s="29"/>
      <c r="F77" s="29"/>
      <c r="G77" s="29"/>
      <c r="H77" s="29"/>
      <c r="I77" s="19"/>
      <c r="J77" s="19"/>
      <c r="K77" s="19"/>
      <c r="L77" s="19"/>
      <c r="M77" s="19"/>
      <c r="N77" s="19"/>
      <c r="O77" s="19"/>
      <c r="P77" s="19"/>
      <c r="Q77" s="19"/>
      <c r="R77" s="19"/>
      <c r="S77" s="19"/>
      <c r="T77" s="19"/>
      <c r="U77" s="19"/>
      <c r="V77" s="19"/>
      <c r="W77" s="19"/>
      <c r="X77" s="19"/>
      <c r="Y77" s="19"/>
      <c r="Z77" s="19"/>
      <c r="AA77" s="19"/>
      <c r="AB77" s="19"/>
      <c r="AC77" s="19"/>
      <c r="AD77" s="19"/>
    </row>
    <row r="78" spans="1:30">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row>
    <row r="79" spans="1:30">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row>
    <row r="80" spans="1:30">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row>
    <row r="81" spans="1:30">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row>
    <row r="82" spans="1:30">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row>
    <row r="83" spans="1:30">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4" spans="1:30">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row>
    <row r="85" spans="1:30">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row>
    <row r="86" spans="1:30">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row>
    <row r="87" spans="1:30">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row>
    <row r="88" spans="1:30">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row>
    <row r="89" spans="1:30">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row>
    <row r="90" spans="1:30">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row>
    <row r="91" spans="1:30">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row>
    <row r="92" spans="1:30">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row>
    <row r="93" spans="1:30">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row>
    <row r="94" spans="1:30">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row>
    <row r="95" spans="1:30">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row>
    <row r="96" spans="1:30">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row>
    <row r="97" spans="1:30">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row>
    <row r="98" spans="1:30">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row>
    <row r="99" spans="1:30">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row>
    <row r="100" spans="1:30">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row>
    <row r="101" spans="1:30">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row>
    <row r="102" spans="1:30">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row>
    <row r="103" spans="1:30">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row>
    <row r="104" spans="1:30">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row>
    <row r="105" spans="1:30">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row>
    <row r="106" spans="1:30">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row>
    <row r="107" spans="1:30">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row>
    <row r="108" spans="1:30">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row>
    <row r="109" spans="1:30">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row>
    <row r="110" spans="1:30">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row>
    <row r="111" spans="1:30">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row>
    <row r="112" spans="1:30">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row>
    <row r="113" spans="1:30">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row>
    <row r="114" spans="1:30">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row>
    <row r="115" spans="1:30">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row>
    <row r="116" spans="1:30">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row>
    <row r="117" spans="1:30">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row>
    <row r="118" spans="1:30">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row>
    <row r="119" spans="1:30">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row>
    <row r="120" spans="1:30">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row>
    <row r="121" spans="1:30">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row>
    <row r="122" spans="1:30">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row>
    <row r="123" spans="1:30">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row>
    <row r="124" spans="1:30">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row>
    <row r="125" spans="1:30">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row>
    <row r="126" spans="1:30">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row>
    <row r="127" spans="1:30">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row>
    <row r="128" spans="1:30">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row>
    <row r="129" spans="1:30">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row>
    <row r="130" spans="1:30">
      <c r="A130" s="19"/>
      <c r="B130" s="19"/>
      <c r="C130" s="19"/>
      <c r="D130" s="19"/>
      <c r="E130" s="19"/>
      <c r="F130" s="19"/>
      <c r="G130" s="19"/>
      <c r="H130" s="19"/>
      <c r="I130" s="19"/>
      <c r="J130" s="19"/>
      <c r="K130" s="19"/>
      <c r="U130" s="19"/>
      <c r="V130" s="19"/>
      <c r="W130" s="19"/>
      <c r="X130" s="19"/>
      <c r="Y130" s="19"/>
      <c r="Z130" s="19"/>
      <c r="AA130" s="19"/>
      <c r="AB130" s="19"/>
      <c r="AC130" s="19"/>
      <c r="AD130" s="19"/>
    </row>
    <row r="131" spans="1:30">
      <c r="A131" s="19"/>
      <c r="B131" s="19"/>
      <c r="C131" s="19"/>
      <c r="D131" s="19"/>
      <c r="E131" s="19"/>
      <c r="F131" s="19"/>
      <c r="G131" s="19"/>
      <c r="H131" s="19"/>
      <c r="I131" s="19"/>
      <c r="J131" s="19"/>
      <c r="K131" s="19"/>
      <c r="U131" s="19"/>
      <c r="V131" s="19"/>
      <c r="W131" s="19"/>
      <c r="X131" s="19"/>
      <c r="Y131" s="19"/>
      <c r="Z131" s="19"/>
      <c r="AA131" s="19"/>
      <c r="AB131" s="19"/>
      <c r="AC131" s="19"/>
      <c r="AD131" s="19"/>
    </row>
    <row r="132" spans="1:30">
      <c r="A132" s="19"/>
      <c r="B132" s="19"/>
      <c r="C132" s="19"/>
      <c r="D132" s="19"/>
      <c r="E132" s="19"/>
      <c r="F132" s="19"/>
      <c r="G132" s="19"/>
      <c r="H132" s="19"/>
      <c r="I132" s="19"/>
      <c r="J132" s="19"/>
      <c r="K132" s="19"/>
      <c r="V132" s="19"/>
      <c r="W132" s="19"/>
      <c r="X132" s="19"/>
      <c r="Y132" s="19"/>
      <c r="Z132" s="19"/>
      <c r="AA132" s="19"/>
      <c r="AB132" s="19"/>
      <c r="AC132" s="19"/>
      <c r="AD132" s="19"/>
    </row>
    <row r="133" spans="1:30">
      <c r="A133" s="19"/>
      <c r="B133" s="19"/>
      <c r="C133" s="19"/>
      <c r="D133" s="19"/>
      <c r="E133" s="19"/>
      <c r="F133" s="19"/>
      <c r="G133" s="19"/>
      <c r="H133" s="19"/>
      <c r="I133" s="19"/>
      <c r="J133" s="19"/>
      <c r="K133" s="19"/>
      <c r="V133" s="19"/>
      <c r="W133" s="19"/>
      <c r="X133" s="19"/>
      <c r="Y133" s="19"/>
      <c r="Z133" s="19"/>
      <c r="AA133" s="19"/>
      <c r="AB133" s="19"/>
      <c r="AC133" s="19"/>
      <c r="AD133" s="19"/>
    </row>
    <row r="134" spans="1:30">
      <c r="A134" s="19"/>
      <c r="B134" s="19"/>
      <c r="C134" s="19"/>
      <c r="D134" s="19"/>
      <c r="E134" s="19"/>
      <c r="F134" s="19"/>
      <c r="G134" s="19"/>
      <c r="H134" s="19"/>
      <c r="I134" s="19"/>
      <c r="J134" s="19"/>
      <c r="K134" s="19"/>
      <c r="V134" s="19"/>
      <c r="W134" s="19"/>
      <c r="X134" s="19"/>
      <c r="Y134" s="19"/>
      <c r="Z134" s="19"/>
      <c r="AA134" s="19"/>
      <c r="AB134" s="19"/>
      <c r="AC134" s="19"/>
      <c r="AD134" s="19"/>
    </row>
    <row r="135" spans="1:30">
      <c r="A135" s="19"/>
      <c r="B135" s="19"/>
      <c r="C135" s="19"/>
      <c r="D135" s="19"/>
      <c r="E135" s="19"/>
      <c r="F135" s="19"/>
      <c r="G135" s="19"/>
      <c r="H135" s="19"/>
      <c r="I135" s="19"/>
      <c r="J135" s="19"/>
      <c r="K135" s="19"/>
      <c r="V135" s="19"/>
      <c r="W135" s="19"/>
      <c r="X135" s="19"/>
      <c r="Y135" s="19"/>
      <c r="Z135" s="19"/>
      <c r="AA135" s="19"/>
      <c r="AB135" s="19"/>
      <c r="AC135" s="19"/>
      <c r="AD135" s="19"/>
    </row>
    <row r="136" spans="1:30">
      <c r="A136" s="19"/>
      <c r="B136" s="19"/>
      <c r="C136" s="19"/>
      <c r="D136" s="19"/>
      <c r="E136" s="19"/>
      <c r="F136" s="19"/>
      <c r="G136" s="19"/>
      <c r="H136" s="19"/>
      <c r="I136" s="19"/>
      <c r="J136" s="19"/>
      <c r="K136" s="19"/>
      <c r="V136" s="19"/>
      <c r="W136" s="19"/>
      <c r="X136" s="19"/>
      <c r="Y136" s="19"/>
      <c r="Z136" s="19"/>
      <c r="AA136" s="19"/>
      <c r="AB136" s="19"/>
      <c r="AC136" s="19"/>
      <c r="AD136" s="19"/>
    </row>
    <row r="137" spans="1:30">
      <c r="A137" s="19"/>
      <c r="B137" s="19"/>
      <c r="C137" s="19"/>
      <c r="D137" s="19"/>
      <c r="E137" s="19"/>
      <c r="F137" s="19"/>
      <c r="G137" s="19"/>
      <c r="H137" s="19"/>
      <c r="I137" s="19"/>
      <c r="J137" s="19"/>
      <c r="K137" s="19"/>
      <c r="W137" s="19"/>
      <c r="X137" s="19"/>
      <c r="Y137" s="19"/>
      <c r="Z137" s="19"/>
      <c r="AA137" s="19"/>
      <c r="AB137" s="19"/>
      <c r="AC137" s="19"/>
      <c r="AD137" s="19"/>
    </row>
    <row r="138" spans="1:30">
      <c r="A138" s="19"/>
      <c r="B138" s="19"/>
      <c r="C138" s="19"/>
      <c r="D138" s="19"/>
      <c r="E138" s="19"/>
      <c r="F138" s="19"/>
      <c r="G138" s="19"/>
      <c r="H138" s="19"/>
      <c r="I138" s="19"/>
      <c r="J138" s="19"/>
      <c r="K138" s="19"/>
      <c r="W138" s="19"/>
      <c r="X138" s="19"/>
      <c r="Y138" s="19"/>
      <c r="Z138" s="19"/>
      <c r="AA138" s="19"/>
      <c r="AB138" s="19"/>
      <c r="AC138" s="19"/>
      <c r="AD138" s="19"/>
    </row>
    <row r="139" spans="1:30">
      <c r="A139" s="19"/>
      <c r="B139" s="19"/>
      <c r="C139" s="19"/>
      <c r="D139" s="19"/>
      <c r="E139" s="19"/>
      <c r="F139" s="19"/>
      <c r="G139" s="19"/>
      <c r="H139" s="19"/>
      <c r="I139" s="19"/>
      <c r="J139" s="19"/>
      <c r="K139" s="19"/>
      <c r="W139" s="19"/>
      <c r="X139" s="19"/>
      <c r="Y139" s="19"/>
      <c r="Z139" s="19"/>
      <c r="AA139" s="19"/>
      <c r="AB139" s="19"/>
      <c r="AC139" s="19"/>
      <c r="AD139" s="19"/>
    </row>
    <row r="140" spans="1:30">
      <c r="A140" s="19"/>
      <c r="B140" s="19"/>
      <c r="C140" s="19"/>
      <c r="D140" s="19"/>
      <c r="E140" s="19"/>
      <c r="F140" s="19"/>
      <c r="G140" s="19"/>
      <c r="H140" s="19"/>
      <c r="I140" s="19"/>
      <c r="J140" s="19"/>
      <c r="K140" s="19"/>
      <c r="W140" s="19"/>
      <c r="X140" s="19"/>
      <c r="Y140" s="19"/>
      <c r="Z140" s="19"/>
      <c r="AA140" s="19"/>
      <c r="AB140" s="19"/>
      <c r="AC140" s="19"/>
      <c r="AD140" s="19"/>
    </row>
    <row r="141" spans="1:30">
      <c r="A141" s="19"/>
      <c r="B141" s="19"/>
      <c r="C141" s="19"/>
      <c r="D141" s="19"/>
      <c r="E141" s="19"/>
      <c r="F141" s="19"/>
      <c r="G141" s="19"/>
      <c r="H141" s="19"/>
      <c r="I141" s="19"/>
      <c r="J141" s="19"/>
      <c r="K141" s="19"/>
      <c r="W141" s="19"/>
      <c r="X141" s="19"/>
      <c r="Y141" s="19"/>
      <c r="Z141" s="19"/>
      <c r="AA141" s="19"/>
      <c r="AB141" s="19"/>
      <c r="AC141" s="19"/>
      <c r="AD141" s="19"/>
    </row>
    <row r="142" spans="1:30">
      <c r="A142" s="19"/>
      <c r="B142" s="19"/>
      <c r="C142" s="19"/>
      <c r="D142" s="19"/>
      <c r="E142" s="19"/>
      <c r="F142" s="19"/>
      <c r="G142" s="19"/>
      <c r="H142" s="19"/>
      <c r="I142" s="19"/>
      <c r="J142" s="19"/>
      <c r="K142" s="19"/>
      <c r="W142" s="19"/>
      <c r="X142" s="19"/>
      <c r="Y142" s="19"/>
      <c r="Z142" s="19"/>
      <c r="AA142" s="19"/>
      <c r="AB142" s="19"/>
      <c r="AC142" s="19"/>
      <c r="AD142" s="19"/>
    </row>
    <row r="143" spans="1:30">
      <c r="A143" s="19"/>
      <c r="B143" s="19"/>
      <c r="C143" s="19"/>
      <c r="D143" s="19"/>
      <c r="E143" s="19"/>
      <c r="F143" s="19"/>
      <c r="G143" s="19"/>
      <c r="H143" s="19"/>
      <c r="I143" s="19"/>
      <c r="J143" s="19"/>
      <c r="K143" s="19"/>
      <c r="W143" s="19"/>
      <c r="X143" s="19"/>
      <c r="Y143" s="19"/>
      <c r="Z143" s="19"/>
      <c r="AA143" s="19"/>
      <c r="AB143" s="19"/>
      <c r="AC143" s="19"/>
      <c r="AD143" s="19"/>
    </row>
    <row r="144" spans="1:30">
      <c r="A144" s="19"/>
      <c r="B144" s="19"/>
      <c r="C144" s="19"/>
      <c r="D144" s="19"/>
      <c r="E144" s="19"/>
      <c r="F144" s="19"/>
      <c r="G144" s="19"/>
      <c r="H144" s="19"/>
      <c r="I144" s="19"/>
      <c r="J144" s="19"/>
      <c r="K144" s="19"/>
      <c r="W144" s="19"/>
      <c r="X144" s="19"/>
      <c r="Y144" s="19"/>
      <c r="Z144" s="19"/>
      <c r="AA144" s="19"/>
      <c r="AB144" s="19"/>
      <c r="AC144" s="19"/>
      <c r="AD144" s="19"/>
    </row>
    <row r="145" spans="1:30">
      <c r="A145" s="19"/>
      <c r="B145" s="19"/>
      <c r="C145" s="19"/>
      <c r="D145" s="19"/>
      <c r="E145" s="19"/>
      <c r="F145" s="19"/>
      <c r="G145" s="19"/>
      <c r="H145" s="19"/>
      <c r="I145" s="19"/>
      <c r="J145" s="19"/>
      <c r="K145" s="19"/>
      <c r="W145" s="19"/>
      <c r="X145" s="19"/>
      <c r="Y145" s="19"/>
      <c r="Z145" s="19"/>
      <c r="AA145" s="19"/>
      <c r="AB145" s="19"/>
      <c r="AC145" s="19"/>
      <c r="AD145" s="19"/>
    </row>
    <row r="146" spans="1:30">
      <c r="A146" s="19"/>
      <c r="B146" s="19"/>
      <c r="C146" s="19"/>
      <c r="D146" s="19"/>
      <c r="E146" s="19"/>
      <c r="F146" s="19"/>
      <c r="G146" s="19"/>
      <c r="H146" s="19"/>
      <c r="I146" s="19"/>
      <c r="J146" s="19"/>
      <c r="K146" s="19"/>
      <c r="W146" s="19"/>
      <c r="X146" s="19"/>
      <c r="Y146" s="19"/>
      <c r="Z146" s="19"/>
      <c r="AA146" s="19"/>
      <c r="AB146" s="19"/>
      <c r="AC146" s="19"/>
      <c r="AD146" s="19"/>
    </row>
    <row r="147" spans="1:30">
      <c r="A147" s="19"/>
      <c r="B147" s="19"/>
      <c r="C147" s="19"/>
      <c r="D147" s="19"/>
      <c r="E147" s="19"/>
      <c r="F147" s="19"/>
      <c r="G147" s="19"/>
      <c r="H147" s="19"/>
      <c r="I147" s="19"/>
      <c r="J147" s="19"/>
      <c r="K147" s="19"/>
      <c r="W147" s="19"/>
      <c r="X147" s="19"/>
      <c r="Y147" s="19"/>
      <c r="Z147" s="19"/>
      <c r="AA147" s="19"/>
      <c r="AB147" s="19"/>
      <c r="AC147" s="19"/>
      <c r="AD147" s="19"/>
    </row>
    <row r="148" spans="1:30">
      <c r="A148" s="19"/>
      <c r="B148" s="19"/>
      <c r="C148" s="19"/>
      <c r="D148" s="19"/>
      <c r="E148" s="19"/>
      <c r="F148" s="19"/>
      <c r="G148" s="19"/>
      <c r="H148" s="19"/>
      <c r="I148" s="19"/>
      <c r="J148" s="19"/>
      <c r="K148" s="19"/>
      <c r="W148" s="19"/>
      <c r="X148" s="19"/>
      <c r="Y148" s="19"/>
      <c r="Z148" s="19"/>
      <c r="AA148" s="19"/>
      <c r="AB148" s="19"/>
      <c r="AC148" s="19"/>
      <c r="AD148" s="19"/>
    </row>
    <row r="149" spans="1:30">
      <c r="A149" s="19"/>
      <c r="B149" s="19"/>
      <c r="C149" s="19"/>
      <c r="D149" s="19"/>
      <c r="E149" s="19"/>
      <c r="F149" s="19"/>
      <c r="G149" s="19"/>
      <c r="H149" s="19"/>
      <c r="I149" s="19"/>
      <c r="J149" s="19"/>
      <c r="K149" s="19"/>
      <c r="W149" s="19"/>
      <c r="X149" s="19"/>
      <c r="Y149" s="19"/>
      <c r="Z149" s="19"/>
      <c r="AA149" s="19"/>
      <c r="AB149" s="19"/>
      <c r="AC149" s="19"/>
      <c r="AD149" s="19"/>
    </row>
    <row r="150" spans="1:30">
      <c r="J150" s="19"/>
      <c r="K150" s="19"/>
      <c r="W150" s="19"/>
      <c r="X150" s="19"/>
      <c r="Y150" s="19"/>
      <c r="Z150" s="19"/>
      <c r="AA150" s="19"/>
      <c r="AB150" s="19"/>
      <c r="AC150" s="19"/>
      <c r="AD150" s="19"/>
    </row>
    <row r="151" spans="1:30">
      <c r="J151" s="19"/>
      <c r="W151" s="19"/>
      <c r="X151" s="19"/>
      <c r="Y151" s="19"/>
      <c r="Z151" s="19"/>
      <c r="AA151" s="19"/>
      <c r="AB151" s="19"/>
      <c r="AC151" s="19"/>
      <c r="AD151" s="19"/>
    </row>
    <row r="152" spans="1:30">
      <c r="J152" s="19"/>
      <c r="W152" s="19"/>
      <c r="X152" s="19"/>
      <c r="Y152" s="19"/>
      <c r="Z152" s="19"/>
      <c r="AA152" s="19"/>
      <c r="AB152" s="19"/>
      <c r="AC152" s="19"/>
      <c r="AD152" s="19"/>
    </row>
    <row r="153" spans="1:30">
      <c r="J153" s="19"/>
      <c r="W153" s="19"/>
      <c r="X153" s="19"/>
      <c r="Y153" s="19"/>
      <c r="Z153" s="19"/>
      <c r="AA153" s="19"/>
      <c r="AB153" s="19"/>
      <c r="AC153" s="19"/>
      <c r="AD153" s="19"/>
    </row>
    <row r="154" spans="1:30">
      <c r="J154" s="19"/>
      <c r="W154" s="19"/>
      <c r="X154" s="19"/>
      <c r="Y154" s="19"/>
      <c r="Z154" s="19"/>
      <c r="AA154" s="19"/>
      <c r="AB154" s="19"/>
      <c r="AC154" s="19"/>
      <c r="AD154" s="19"/>
    </row>
    <row r="155" spans="1:30">
      <c r="J155" s="19"/>
      <c r="W155" s="19"/>
      <c r="X155" s="19"/>
      <c r="Y155" s="19"/>
      <c r="Z155" s="19"/>
      <c r="AA155" s="19"/>
      <c r="AB155" s="19"/>
      <c r="AC155" s="19"/>
      <c r="AD155" s="19"/>
    </row>
    <row r="156" spans="1:30">
      <c r="J156" s="19"/>
      <c r="W156" s="19"/>
      <c r="X156" s="19"/>
      <c r="Y156" s="19"/>
      <c r="Z156" s="19"/>
      <c r="AA156" s="19"/>
      <c r="AB156" s="19"/>
      <c r="AC156" s="19"/>
      <c r="AD156" s="19"/>
    </row>
    <row r="157" spans="1:30">
      <c r="W157" s="19"/>
      <c r="X157" s="19"/>
      <c r="Y157" s="19"/>
      <c r="Z157" s="19"/>
      <c r="AA157" s="19"/>
      <c r="AB157" s="19"/>
      <c r="AC157" s="19"/>
      <c r="AD157" s="19"/>
    </row>
    <row r="158" spans="1:30">
      <c r="W158" s="19"/>
      <c r="X158" s="19"/>
      <c r="Y158" s="19"/>
      <c r="Z158" s="19"/>
      <c r="AA158" s="19"/>
      <c r="AB158" s="19"/>
      <c r="AC158" s="19"/>
      <c r="AD158" s="19"/>
    </row>
    <row r="159" spans="1:30">
      <c r="X159" s="19"/>
      <c r="Y159" s="19"/>
      <c r="Z159" s="19"/>
      <c r="AA159" s="19"/>
      <c r="AB159" s="19"/>
      <c r="AC159" s="19"/>
      <c r="AD159" s="19"/>
    </row>
    <row r="160" spans="1:30">
      <c r="X160" s="19"/>
      <c r="Y160" s="19"/>
      <c r="Z160" s="19"/>
      <c r="AA160" s="19"/>
      <c r="AB160" s="19"/>
      <c r="AC160" s="19"/>
      <c r="AD160" s="19"/>
    </row>
    <row r="161" spans="24:30">
      <c r="X161" s="19"/>
      <c r="Y161" s="19"/>
      <c r="Z161" s="19"/>
      <c r="AA161" s="19"/>
      <c r="AB161" s="19"/>
      <c r="AC161" s="19"/>
      <c r="AD161" s="19"/>
    </row>
  </sheetData>
  <sheetProtection password="B094"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16" sqref="A16"/>
    </sheetView>
  </sheetViews>
  <sheetFormatPr baseColWidth="10" defaultRowHeight="15"/>
  <sheetData>
    <row r="1" spans="1:8">
      <c r="A1" s="13" t="s">
        <v>704</v>
      </c>
      <c r="B1" s="13"/>
    </row>
    <row r="2" spans="1:8">
      <c r="A2" s="10">
        <f>'BO AF'!A6</f>
        <v>0</v>
      </c>
      <c r="B2" s="10">
        <f>'BO AF'!B6:C6+'CACh prévi'!J27</f>
        <v>0</v>
      </c>
      <c r="D2" t="s">
        <v>705</v>
      </c>
      <c r="G2" s="710" t="e">
        <f>(B2-B3)/B3</f>
        <v>#DIV/0!</v>
      </c>
    </row>
    <row r="3" spans="1:8">
      <c r="A3" s="10">
        <f>'BO AF'!A5</f>
        <v>0</v>
      </c>
      <c r="B3" s="10">
        <f>'BO AF'!B5:C5</f>
        <v>0</v>
      </c>
      <c r="D3" t="s">
        <v>706</v>
      </c>
      <c r="G3" s="709" t="e">
        <f>(B2-'CACh prévi'!J27-'BO P10'!B3)/'BO P10'!B3</f>
        <v>#DIV/0!</v>
      </c>
    </row>
    <row r="7" spans="1:8" ht="15" customHeight="1">
      <c r="A7" t="e">
        <f>IF(G2&gt;0.02,TRUE,FALSE)</f>
        <v>#DIV/0!</v>
      </c>
      <c r="B7">
        <v>1</v>
      </c>
      <c r="C7" s="975" t="e">
        <f>"Entre "&amp;$A$3&amp;" et "&amp;$A$2&amp;", avec la mise en place du nouveau projet, le chiffre d'affaires a augmenté de "&amp;ROUND($G$2,4)*100&amp;" %."</f>
        <v>#DIV/0!</v>
      </c>
      <c r="D7" s="975"/>
      <c r="E7" s="975"/>
      <c r="F7" s="975"/>
      <c r="G7" s="975"/>
      <c r="H7" s="975"/>
    </row>
    <row r="8" spans="1:8">
      <c r="C8" s="975"/>
      <c r="D8" s="975"/>
      <c r="E8" s="975"/>
      <c r="F8" s="975"/>
      <c r="G8" s="975"/>
      <c r="H8" s="975"/>
    </row>
    <row r="9" spans="1:8">
      <c r="A9" t="e">
        <f>IF(AND(G2&gt;0,G2&lt;=0.02)*TRUE,FALSE)</f>
        <v>#DIV/0!</v>
      </c>
      <c r="B9">
        <v>-1</v>
      </c>
      <c r="C9" s="975" t="e">
        <f>"Entre "&amp;$A$3&amp;" et "&amp;$A$2&amp;", avec la mise en place du nouveau projet, le chiffre d'affaires a baissé de "&amp;ROUND(-$G$2,4)*100&amp;" %."</f>
        <v>#DIV/0!</v>
      </c>
      <c r="D9" s="975"/>
      <c r="E9" s="975"/>
      <c r="F9" s="975"/>
      <c r="G9" s="975"/>
      <c r="H9" s="975"/>
    </row>
    <row r="10" spans="1:8">
      <c r="C10" s="975"/>
      <c r="D10" s="975"/>
      <c r="E10" s="975"/>
      <c r="F10" s="975"/>
      <c r="G10" s="975"/>
      <c r="H10" s="975"/>
    </row>
    <row r="11" spans="1:8">
      <c r="A11" t="e">
        <f>IF(AND(G2&lt;=0.02,G2&gt;=-0.02),TRUE,FALSE)</f>
        <v>#DIV/0!</v>
      </c>
      <c r="B11">
        <v>0</v>
      </c>
      <c r="C11" s="975" t="str">
        <f>"Entre "&amp;$A$3&amp;" et "&amp;$A$2&amp;", la mise en place du nouveau projet n'a pas entraîné d'augmentation ou de diminution significative du chiffre d'affaires."</f>
        <v>Entre 0 et 0, la mise en place du nouveau projet n'a pas entraîné d'augmentation ou de diminution significative du chiffre d'affaires.</v>
      </c>
      <c r="D11" s="975"/>
      <c r="E11" s="975"/>
      <c r="F11" s="975"/>
      <c r="G11" s="975"/>
      <c r="H11" s="975"/>
    </row>
    <row r="12" spans="1:8">
      <c r="C12" s="975"/>
      <c r="D12" s="975"/>
      <c r="E12" s="975"/>
      <c r="F12" s="975"/>
      <c r="G12" s="975"/>
      <c r="H12" s="975"/>
    </row>
    <row r="13" spans="1:8">
      <c r="A13" t="e">
        <f>IF(G2&gt;G3,TRUE,FALSE)</f>
        <v>#DIV/0!</v>
      </c>
      <c r="B13">
        <v>1</v>
      </c>
      <c r="C13" s="975" t="e">
        <f>"La mise en place du nouveau projet a permis d'augmenter le chiffre d'affaires de "&amp;ROUND(G2-G3,2)*100&amp;" points"</f>
        <v>#DIV/0!</v>
      </c>
      <c r="D13" s="975"/>
      <c r="E13" s="975"/>
      <c r="F13" s="975"/>
      <c r="G13" s="975"/>
      <c r="H13" s="975"/>
    </row>
    <row r="14" spans="1:8">
      <c r="C14" s="975"/>
      <c r="D14" s="975"/>
      <c r="E14" s="975"/>
      <c r="F14" s="975"/>
      <c r="G14" s="975"/>
      <c r="H14" s="975"/>
    </row>
    <row r="15" spans="1:8">
      <c r="A15" t="e">
        <f>IF(G2&lt;G3,TRUE,FALSE)</f>
        <v>#DIV/0!</v>
      </c>
      <c r="B15">
        <v>1</v>
      </c>
      <c r="C15" s="713" t="e">
        <f>"La mise en place du nouveau projet a permis de réduire la baisse du chiffre d'affaires de "&amp;ROUND(-(G3-G2),2)*100&amp;" points."</f>
        <v>#DIV/0!</v>
      </c>
      <c r="D15" s="713"/>
      <c r="E15" s="713"/>
      <c r="F15" s="713"/>
      <c r="G15" s="713"/>
      <c r="H15" s="713"/>
    </row>
    <row r="16" spans="1:8">
      <c r="C16" s="713"/>
      <c r="D16" s="713"/>
      <c r="E16" s="713"/>
      <c r="F16" s="713"/>
      <c r="G16" s="713"/>
      <c r="H16" s="713"/>
    </row>
  </sheetData>
  <mergeCells count="5">
    <mergeCell ref="C7:H8"/>
    <mergeCell ref="C9:H10"/>
    <mergeCell ref="C11:H12"/>
    <mergeCell ref="C13:H14"/>
    <mergeCell ref="C15:H16"/>
  </mergeCells>
  <pageMargins left="0.70866141732283461" right="0.31496062992125984"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6"/>
  </sheetPr>
  <dimension ref="A1:O110"/>
  <sheetViews>
    <sheetView topLeftCell="A97" zoomScale="120" zoomScaleNormal="120" workbookViewId="0">
      <selection activeCell="E43" sqref="E43"/>
    </sheetView>
  </sheetViews>
  <sheetFormatPr baseColWidth="10" defaultRowHeight="15"/>
  <cols>
    <col min="1" max="1" width="16" customWidth="1"/>
    <col min="2" max="2" width="7.85546875" customWidth="1"/>
    <col min="4" max="4" width="7.28515625" customWidth="1"/>
    <col min="5" max="5" width="5.5703125" customWidth="1"/>
    <col min="6" max="6" width="9.5703125" customWidth="1"/>
    <col min="7" max="7" width="9.42578125" customWidth="1"/>
    <col min="8" max="8" width="9" customWidth="1"/>
    <col min="9" max="9" width="10.42578125" customWidth="1"/>
  </cols>
  <sheetData>
    <row r="1" spans="1:11">
      <c r="A1" s="1"/>
      <c r="B1" s="1"/>
      <c r="C1" s="1"/>
      <c r="D1" s="1"/>
      <c r="E1" s="1"/>
      <c r="F1" s="1"/>
      <c r="G1" s="1"/>
      <c r="H1" s="1"/>
    </row>
    <row r="2" spans="1:11" ht="14.25" customHeight="1">
      <c r="A2" s="1"/>
      <c r="B2" s="742" t="s">
        <v>7</v>
      </c>
      <c r="C2" s="742"/>
      <c r="D2" s="742"/>
      <c r="E2" s="742"/>
      <c r="F2" s="742"/>
      <c r="G2" s="742"/>
      <c r="H2" s="742"/>
    </row>
    <row r="3" spans="1:11" ht="21" customHeight="1">
      <c r="A3" s="1"/>
      <c r="B3" s="742"/>
      <c r="C3" s="742"/>
      <c r="D3" s="742"/>
      <c r="E3" s="742"/>
      <c r="F3" s="742"/>
      <c r="G3" s="742"/>
      <c r="H3" s="742"/>
    </row>
    <row r="4" spans="1:11" ht="15" customHeight="1">
      <c r="B4" s="742"/>
      <c r="C4" s="742"/>
      <c r="D4" s="742"/>
      <c r="E4" s="742"/>
      <c r="F4" s="742"/>
      <c r="G4" s="742"/>
      <c r="H4" s="742"/>
    </row>
    <row r="5" spans="1:11" ht="15.75" customHeight="1"/>
    <row r="6" spans="1:11">
      <c r="A6" s="827" t="s">
        <v>8</v>
      </c>
      <c r="B6" s="828"/>
      <c r="C6" s="828"/>
      <c r="D6" s="828"/>
      <c r="E6" s="828"/>
      <c r="F6" s="828"/>
      <c r="G6" s="828"/>
      <c r="H6" s="828"/>
      <c r="I6" s="42"/>
      <c r="J6" s="19"/>
      <c r="K6" s="19"/>
    </row>
    <row r="7" spans="1:11" ht="15.75" thickBot="1">
      <c r="A7" s="828"/>
      <c r="B7" s="828"/>
      <c r="C7" s="828"/>
      <c r="D7" s="828"/>
      <c r="E7" s="828"/>
      <c r="F7" s="828"/>
      <c r="G7" s="828"/>
      <c r="H7" s="828"/>
      <c r="I7" s="42"/>
      <c r="J7" s="19"/>
      <c r="K7" s="19"/>
    </row>
    <row r="8" spans="1:11" ht="15.75" thickBot="1">
      <c r="A8" s="668"/>
      <c r="B8" s="669" t="s">
        <v>681</v>
      </c>
      <c r="C8" s="73"/>
      <c r="D8" s="73"/>
      <c r="E8" s="73"/>
      <c r="F8" s="73"/>
      <c r="G8" s="73"/>
      <c r="H8" s="73"/>
      <c r="I8" s="42"/>
      <c r="J8" s="19"/>
      <c r="K8" s="19"/>
    </row>
    <row r="9" spans="1:11">
      <c r="A9" s="109"/>
      <c r="B9" s="109"/>
      <c r="C9" s="109"/>
      <c r="D9" s="109"/>
      <c r="E9" s="109"/>
      <c r="F9" s="109"/>
      <c r="G9" s="109"/>
      <c r="H9" s="109"/>
      <c r="I9" s="42"/>
      <c r="J9" s="19"/>
      <c r="K9" s="19"/>
    </row>
    <row r="10" spans="1:11" ht="15.75" thickBot="1">
      <c r="A10" s="109" t="s">
        <v>167</v>
      </c>
      <c r="B10" s="109"/>
      <c r="C10" s="109"/>
      <c r="D10" s="109"/>
      <c r="E10" s="109"/>
      <c r="F10" s="109"/>
      <c r="G10" s="109"/>
      <c r="H10" s="109"/>
      <c r="I10" s="42"/>
      <c r="J10" s="19"/>
      <c r="K10" s="19"/>
    </row>
    <row r="11" spans="1:11" ht="15.75" thickBot="1">
      <c r="A11" s="109"/>
      <c r="B11" s="635" t="s">
        <v>168</v>
      </c>
      <c r="C11" s="636"/>
      <c r="D11" s="109"/>
      <c r="E11" s="109"/>
      <c r="F11" s="109"/>
      <c r="G11" s="109"/>
      <c r="H11" s="109"/>
      <c r="I11" s="42"/>
      <c r="J11" s="19"/>
      <c r="K11" s="19"/>
    </row>
    <row r="12" spans="1:11" ht="15.75" thickBot="1">
      <c r="A12" s="19" t="s">
        <v>166</v>
      </c>
      <c r="B12" s="19"/>
      <c r="C12" s="19"/>
      <c r="D12" s="19"/>
      <c r="E12" s="19"/>
      <c r="F12" s="19"/>
      <c r="G12" s="18"/>
      <c r="H12" s="19"/>
      <c r="I12" s="19"/>
      <c r="J12" s="19"/>
      <c r="K12" s="19"/>
    </row>
    <row r="13" spans="1:11" ht="15.75" thickBot="1">
      <c r="A13" s="19"/>
      <c r="B13" s="836" t="s">
        <v>2</v>
      </c>
      <c r="C13" s="837"/>
      <c r="D13" s="29"/>
      <c r="E13" s="29"/>
      <c r="F13" s="29"/>
      <c r="G13" s="99"/>
      <c r="H13" s="19"/>
      <c r="I13" s="19"/>
      <c r="J13" s="19"/>
      <c r="K13" s="19"/>
    </row>
    <row r="14" spans="1:11" ht="15.75" thickBot="1">
      <c r="A14" s="19" t="str">
        <f>IF(B13&lt;&gt;"Franchise en base de TVA","Quel est votre taux de TVA sur les ventes ?","")</f>
        <v>Quel est votre taux de TVA sur les ventes ?</v>
      </c>
      <c r="B14" s="19"/>
      <c r="C14" s="19"/>
      <c r="D14" s="19"/>
      <c r="E14" s="19"/>
      <c r="F14" s="19"/>
      <c r="G14" s="18"/>
      <c r="H14" s="19"/>
      <c r="I14" s="19"/>
      <c r="J14" s="19"/>
      <c r="K14" s="19"/>
    </row>
    <row r="15" spans="1:11" ht="15.75" thickBot="1">
      <c r="A15" s="19"/>
      <c r="B15" s="637">
        <v>0.2</v>
      </c>
      <c r="C15" s="19"/>
      <c r="D15" s="19"/>
      <c r="E15" s="19"/>
      <c r="F15" s="19"/>
      <c r="G15" s="19"/>
      <c r="H15" s="19"/>
      <c r="I15" s="19"/>
      <c r="J15" s="19"/>
      <c r="K15" s="19"/>
    </row>
    <row r="16" spans="1:11" ht="15.75" thickBot="1">
      <c r="A16" s="19" t="str">
        <f>IF(B13&lt;&gt;"Franchise en base de TVA","Sur les achats de matières premières, marchandises ?","")</f>
        <v>Sur les achats de matières premières, marchandises ?</v>
      </c>
      <c r="B16" s="19"/>
      <c r="C16" s="19"/>
      <c r="D16" s="19"/>
      <c r="E16" s="19"/>
      <c r="F16" s="19"/>
      <c r="G16" s="19"/>
      <c r="H16" s="19"/>
      <c r="I16" s="19"/>
      <c r="J16" s="19"/>
      <c r="K16" s="19"/>
    </row>
    <row r="17" spans="1:11" ht="15.75" thickBot="1">
      <c r="A17" s="19"/>
      <c r="B17" s="637">
        <v>0.2</v>
      </c>
      <c r="C17" s="19"/>
      <c r="D17" s="19"/>
      <c r="E17" s="19"/>
      <c r="F17" s="19"/>
      <c r="G17" s="19"/>
      <c r="H17" s="19"/>
      <c r="I17" s="19"/>
      <c r="J17" s="19"/>
      <c r="K17" s="19"/>
    </row>
    <row r="18" spans="1:11">
      <c r="A18" s="19"/>
      <c r="B18" s="19"/>
      <c r="C18" s="19"/>
      <c r="D18" s="19"/>
      <c r="E18" s="19"/>
      <c r="F18" s="19"/>
      <c r="G18" s="19"/>
      <c r="H18" s="19"/>
      <c r="I18" s="19"/>
      <c r="J18" s="19"/>
      <c r="K18" s="19"/>
    </row>
    <row r="19" spans="1:11">
      <c r="A19" s="19" t="s">
        <v>216</v>
      </c>
      <c r="B19" s="19"/>
      <c r="C19" s="19"/>
      <c r="D19" s="19"/>
      <c r="E19" s="19"/>
      <c r="F19" s="19"/>
      <c r="G19" s="19"/>
      <c r="H19" s="19"/>
      <c r="I19" s="19"/>
      <c r="J19" s="19"/>
      <c r="K19" s="19"/>
    </row>
    <row r="20" spans="1:11">
      <c r="A20" s="19"/>
      <c r="B20" s="19"/>
      <c r="C20" s="788" t="s">
        <v>157</v>
      </c>
      <c r="D20" s="788"/>
      <c r="E20" s="19"/>
      <c r="F20" s="788" t="s">
        <v>18</v>
      </c>
      <c r="G20" s="788"/>
      <c r="H20" s="788"/>
      <c r="I20" s="19"/>
      <c r="J20" s="74"/>
      <c r="K20" s="19"/>
    </row>
    <row r="21" spans="1:11" ht="15.75" thickBot="1">
      <c r="A21" s="19"/>
      <c r="B21" s="526" t="s">
        <v>21</v>
      </c>
      <c r="C21" s="824" t="s">
        <v>158</v>
      </c>
      <c r="D21" s="824"/>
      <c r="E21" s="832" t="s">
        <v>9</v>
      </c>
      <c r="F21" s="599" t="str">
        <f>IF(B13="IR au réel simplifié","Case 210",IF(B13="IR au réel normal","Case FL",""))</f>
        <v>Case 210</v>
      </c>
      <c r="G21" s="641" t="str">
        <f>IF(B13="IR au réel simplifié","Case 214",IF(B13="IR au réel normal","",""))</f>
        <v>Case 214</v>
      </c>
      <c r="H21" s="600" t="str">
        <f>IF(B13="IR au réel simplifié","Case 218",IF(B13="IR au réel normal","",""))</f>
        <v>Case 218</v>
      </c>
      <c r="I21" s="19"/>
      <c r="J21" s="19"/>
      <c r="K21" s="19"/>
    </row>
    <row r="22" spans="1:11">
      <c r="A22" s="73" t="s">
        <v>10</v>
      </c>
      <c r="B22" s="638"/>
      <c r="C22" s="842"/>
      <c r="D22" s="798"/>
      <c r="E22" s="833"/>
      <c r="F22" s="642"/>
      <c r="G22" s="643"/>
      <c r="H22" s="644"/>
      <c r="I22" s="19"/>
      <c r="J22" s="19"/>
      <c r="K22" s="19"/>
    </row>
    <row r="23" spans="1:11">
      <c r="A23" s="73" t="s">
        <v>11</v>
      </c>
      <c r="B23" s="639"/>
      <c r="C23" s="829"/>
      <c r="D23" s="800"/>
      <c r="E23" s="833"/>
      <c r="F23" s="645"/>
      <c r="G23" s="102"/>
      <c r="H23" s="646"/>
      <c r="I23" s="19"/>
      <c r="J23" s="19"/>
      <c r="K23" s="19"/>
    </row>
    <row r="24" spans="1:11" ht="15.75" thickBot="1">
      <c r="A24" s="73" t="s">
        <v>12</v>
      </c>
      <c r="B24" s="640"/>
      <c r="C24" s="830"/>
      <c r="D24" s="831"/>
      <c r="E24" s="834"/>
      <c r="F24" s="647"/>
      <c r="G24" s="648"/>
      <c r="H24" s="649"/>
      <c r="I24" s="19"/>
      <c r="J24" s="19"/>
      <c r="K24" s="19"/>
    </row>
    <row r="25" spans="1:11" ht="8.25" customHeight="1">
      <c r="A25" s="19"/>
      <c r="B25" s="19"/>
      <c r="C25" s="19"/>
      <c r="D25" s="19"/>
      <c r="E25" s="19"/>
      <c r="F25" s="19"/>
      <c r="G25" s="19"/>
      <c r="H25" s="19"/>
      <c r="I25" s="19"/>
      <c r="J25" s="19"/>
      <c r="K25" s="19"/>
    </row>
    <row r="26" spans="1:11">
      <c r="A26" s="19" t="s">
        <v>155</v>
      </c>
      <c r="B26" s="19"/>
      <c r="C26" s="19"/>
      <c r="D26" s="19"/>
      <c r="E26" s="19"/>
      <c r="F26" s="19"/>
      <c r="G26" s="19"/>
      <c r="H26" s="19"/>
      <c r="I26" s="19"/>
      <c r="J26" s="19"/>
      <c r="K26" s="19"/>
    </row>
    <row r="27" spans="1:11" ht="15.75" thickBot="1">
      <c r="A27" s="19"/>
      <c r="B27" s="19"/>
      <c r="C27" s="824" t="str">
        <f>C21</f>
        <v>Votre compte de résultat</v>
      </c>
      <c r="D27" s="824"/>
      <c r="E27" s="19"/>
      <c r="F27" s="526" t="str">
        <f>IF(B13="IR au réel simplifié","Case 234",IF(B13="IR au réel normal","Case FS",""))</f>
        <v>Case 234</v>
      </c>
      <c r="G27" s="526" t="str">
        <f>IF(B13="IR au réel simplifié","Case 236",IF(B13="IR au réel normal","Case FT",""))</f>
        <v>Case 236</v>
      </c>
      <c r="H27" s="78"/>
      <c r="I27" s="78"/>
      <c r="J27" s="78"/>
      <c r="K27" s="78"/>
    </row>
    <row r="28" spans="1:11" ht="15.75" thickBot="1">
      <c r="A28" s="794" t="s">
        <v>124</v>
      </c>
      <c r="B28" s="795"/>
      <c r="C28" s="790"/>
      <c r="D28" s="791"/>
      <c r="E28" s="19"/>
      <c r="F28" s="650"/>
      <c r="G28" s="651"/>
      <c r="H28" s="78"/>
      <c r="I28" s="78"/>
      <c r="J28" s="78"/>
      <c r="K28" s="78"/>
    </row>
    <row r="29" spans="1:11" ht="15.75" thickBot="1">
      <c r="A29" s="815"/>
      <c r="B29" s="815"/>
      <c r="C29" s="835" t="str">
        <f>C27</f>
        <v>Votre compte de résultat</v>
      </c>
      <c r="D29" s="835"/>
      <c r="E29" s="825" t="str">
        <f>E33</f>
        <v>OU</v>
      </c>
      <c r="F29" s="598" t="str">
        <f>IF(B13="IR au réel simplifié","Case 238",IF(B13="IR au réel normal","Case FU",""))</f>
        <v>Case 238</v>
      </c>
      <c r="G29" s="598" t="str">
        <f>IF(B13="IR au réel simplifié","Case 240",IF(B13="IR au réel normal","Case FV",""))</f>
        <v>Case 240</v>
      </c>
      <c r="H29" s="76"/>
      <c r="I29" s="76"/>
      <c r="J29" s="78"/>
      <c r="K29" s="78"/>
    </row>
    <row r="30" spans="1:11" ht="15.75" thickBot="1">
      <c r="A30" s="822" t="s">
        <v>17</v>
      </c>
      <c r="B30" s="794"/>
      <c r="C30" s="790"/>
      <c r="D30" s="791"/>
      <c r="E30" s="826"/>
      <c r="F30" s="650"/>
      <c r="G30" s="651"/>
      <c r="H30" s="80"/>
      <c r="I30" s="80"/>
      <c r="J30" s="78"/>
      <c r="K30" s="78"/>
    </row>
    <row r="31" spans="1:11" ht="15.75" thickBot="1">
      <c r="A31" s="838"/>
      <c r="B31" s="839"/>
      <c r="C31" s="840" t="str">
        <f>C29</f>
        <v>Votre compte de résultat</v>
      </c>
      <c r="D31" s="841"/>
      <c r="E31" s="825" t="str">
        <f>E35</f>
        <v>OU</v>
      </c>
      <c r="F31" s="655" t="str">
        <f>IF(B13="IR au réel simplifié","Case 242",IF(B13="IR au réel normal","Case FW",""))</f>
        <v>Case 242</v>
      </c>
      <c r="G31" s="80"/>
      <c r="H31" s="80"/>
      <c r="I31" s="80"/>
      <c r="J31" s="78"/>
      <c r="K31" s="78"/>
    </row>
    <row r="32" spans="1:11" ht="15.75" thickBot="1">
      <c r="A32" s="822" t="s">
        <v>178</v>
      </c>
      <c r="B32" s="794"/>
      <c r="C32" s="805"/>
      <c r="D32" s="806"/>
      <c r="E32" s="826"/>
      <c r="F32" s="665"/>
      <c r="G32" s="80"/>
      <c r="H32" s="80"/>
      <c r="I32" s="80"/>
      <c r="J32" s="78"/>
      <c r="K32" s="78"/>
    </row>
    <row r="33" spans="1:11" ht="15.75" thickBot="1">
      <c r="A33" s="792"/>
      <c r="B33" s="793"/>
      <c r="C33" s="843" t="str">
        <f>C31</f>
        <v>Votre compte de résultat</v>
      </c>
      <c r="D33" s="844"/>
      <c r="E33" s="825" t="str">
        <f>E21</f>
        <v>OU</v>
      </c>
      <c r="F33" s="789" t="str">
        <f>IF(B13="IR au réel simplifié","Case 270",IF(B13="IR au réel normal","Case GG",""))</f>
        <v>Case 270</v>
      </c>
      <c r="G33" s="823"/>
      <c r="H33" s="823"/>
      <c r="I33" s="78"/>
      <c r="J33" s="78"/>
      <c r="K33" s="78"/>
    </row>
    <row r="34" spans="1:11" ht="15.75" thickBot="1">
      <c r="A34" s="822" t="s">
        <v>13</v>
      </c>
      <c r="B34" s="794"/>
      <c r="C34" s="790"/>
      <c r="D34" s="791"/>
      <c r="E34" s="826"/>
      <c r="F34" s="790"/>
      <c r="G34" s="811"/>
      <c r="H34" s="791"/>
      <c r="I34" s="78"/>
      <c r="J34" s="78"/>
      <c r="K34" s="78"/>
    </row>
    <row r="35" spans="1:11" ht="15.75" thickBot="1">
      <c r="A35" s="792"/>
      <c r="B35" s="793"/>
      <c r="C35" s="835" t="str">
        <f>C33</f>
        <v>Votre compte de résultat</v>
      </c>
      <c r="D35" s="835"/>
      <c r="E35" s="825" t="str">
        <f>E33</f>
        <v>OU</v>
      </c>
      <c r="F35" s="655" t="str">
        <f>IF(B13="IR au réel simplifié","Case 294",IF(B13="IR au réel normal","Case GR",""))</f>
        <v>Case 294</v>
      </c>
      <c r="G35" s="80"/>
      <c r="H35" s="80"/>
      <c r="I35" s="78"/>
      <c r="J35" s="78"/>
      <c r="K35" s="78"/>
    </row>
    <row r="36" spans="1:11" ht="15.75" thickBot="1">
      <c r="A36" s="822" t="s">
        <v>127</v>
      </c>
      <c r="B36" s="794"/>
      <c r="C36" s="790"/>
      <c r="D36" s="791"/>
      <c r="E36" s="826"/>
      <c r="F36" s="665"/>
      <c r="G36" s="80"/>
      <c r="H36" s="80"/>
      <c r="I36" s="78"/>
      <c r="J36" s="78"/>
      <c r="K36" s="78"/>
    </row>
    <row r="37" spans="1:11" ht="15.75" thickBot="1">
      <c r="A37" s="792"/>
      <c r="B37" s="793"/>
      <c r="C37" s="835" t="str">
        <f>C35</f>
        <v>Votre compte de résultat</v>
      </c>
      <c r="D37" s="835"/>
      <c r="E37" s="825"/>
      <c r="F37" s="655" t="str">
        <f>IF(B13="IR au réel simplifié","Case 280",IF(B13="IR au réel normal","Case GV",""))</f>
        <v>Case 280</v>
      </c>
      <c r="G37" s="80"/>
      <c r="H37" s="80"/>
      <c r="I37" s="78"/>
      <c r="J37" s="78"/>
      <c r="K37" s="78"/>
    </row>
    <row r="38" spans="1:11" ht="15.75" thickBot="1">
      <c r="A38" s="822" t="s">
        <v>14</v>
      </c>
      <c r="B38" s="794"/>
      <c r="C38" s="790"/>
      <c r="D38" s="791"/>
      <c r="E38" s="826"/>
      <c r="F38" s="665"/>
      <c r="G38" s="80"/>
      <c r="H38" s="80"/>
      <c r="I38" s="78"/>
      <c r="J38" s="78"/>
      <c r="K38" s="78"/>
    </row>
    <row r="39" spans="1:11" ht="15.75" thickBot="1">
      <c r="A39" s="794"/>
      <c r="B39" s="796"/>
      <c r="C39" s="879" t="str">
        <f>C37</f>
        <v>Votre compte de résultat</v>
      </c>
      <c r="D39" s="879"/>
      <c r="E39" s="83"/>
      <c r="F39" s="80"/>
      <c r="G39" s="80"/>
      <c r="H39" s="80"/>
      <c r="I39" s="78"/>
      <c r="J39" s="78"/>
      <c r="K39" s="78"/>
    </row>
    <row r="40" spans="1:11" ht="15.75" thickBot="1">
      <c r="A40" s="822" t="str">
        <f>"+/-value sur cessions d'actif"</f>
        <v>+/-value sur cessions d'actif</v>
      </c>
      <c r="B40" s="794"/>
      <c r="C40" s="790"/>
      <c r="D40" s="791"/>
      <c r="E40" s="83"/>
      <c r="F40" s="80"/>
      <c r="G40" s="80"/>
      <c r="H40" s="80"/>
      <c r="I40" s="78"/>
      <c r="J40" s="78"/>
      <c r="K40" s="78"/>
    </row>
    <row r="41" spans="1:11" ht="15.75" thickBot="1">
      <c r="A41" s="862"/>
      <c r="B41" s="863"/>
      <c r="C41" s="843" t="str">
        <f>C39</f>
        <v>Votre compte de résultat</v>
      </c>
      <c r="D41" s="844"/>
      <c r="E41" s="825" t="str">
        <f>E35</f>
        <v>OU</v>
      </c>
      <c r="F41" s="597" t="str">
        <f>IF(B13="IR au réel simplifié","Case 290",IF(B13="IR au réel normal","Case HI",""))</f>
        <v>Case 290</v>
      </c>
      <c r="G41" s="656" t="str">
        <f>IF(B13="IR au réel simplifié","Case 300",IF(B13="IR au réel normal","",""))</f>
        <v>Case 300</v>
      </c>
      <c r="H41" s="80"/>
      <c r="I41" s="78"/>
      <c r="J41" s="78"/>
      <c r="K41" s="78"/>
    </row>
    <row r="42" spans="1:11" ht="15.75" thickBot="1">
      <c r="A42" s="809" t="s">
        <v>15</v>
      </c>
      <c r="B42" s="845"/>
      <c r="C42" s="790"/>
      <c r="D42" s="791"/>
      <c r="E42" s="826"/>
      <c r="F42" s="650"/>
      <c r="G42" s="651"/>
      <c r="H42" s="80"/>
      <c r="I42" s="78"/>
      <c r="J42" s="78"/>
      <c r="K42" s="78"/>
    </row>
    <row r="43" spans="1:11" ht="15.75" thickBot="1">
      <c r="A43" s="862"/>
      <c r="B43" s="863"/>
      <c r="C43" s="843" t="str">
        <f>C41</f>
        <v>Votre compte de résultat</v>
      </c>
      <c r="D43" s="880"/>
      <c r="E43" s="832" t="str">
        <f t="shared" ref="E43" si="0">+E33</f>
        <v>OU</v>
      </c>
      <c r="F43" s="789" t="str">
        <f>IF(B13="IR au réel simplifié","Case 310",IF(B13="IR au réel normal","Case HN",""))</f>
        <v>Case 310</v>
      </c>
      <c r="G43" s="789"/>
      <c r="H43" s="823"/>
      <c r="I43" s="78"/>
      <c r="J43" s="78"/>
      <c r="K43" s="78"/>
    </row>
    <row r="44" spans="1:11">
      <c r="A44" s="809" t="s">
        <v>34</v>
      </c>
      <c r="B44" s="845"/>
      <c r="C44" s="797"/>
      <c r="D44" s="798"/>
      <c r="E44" s="833"/>
      <c r="F44" s="797"/>
      <c r="G44" s="842"/>
      <c r="H44" s="798"/>
      <c r="I44" s="78"/>
      <c r="J44" s="78"/>
      <c r="K44" s="78"/>
    </row>
    <row r="45" spans="1:11">
      <c r="A45" s="809" t="s">
        <v>35</v>
      </c>
      <c r="B45" s="845"/>
      <c r="C45" s="799"/>
      <c r="D45" s="800"/>
      <c r="E45" s="869"/>
      <c r="F45" s="799"/>
      <c r="G45" s="829"/>
      <c r="H45" s="800"/>
      <c r="I45" s="78"/>
      <c r="J45" s="78"/>
      <c r="K45" s="78"/>
    </row>
    <row r="46" spans="1:11" ht="15.75" thickBot="1">
      <c r="A46" s="809" t="s">
        <v>36</v>
      </c>
      <c r="B46" s="845"/>
      <c r="C46" s="864"/>
      <c r="D46" s="831"/>
      <c r="E46" s="870"/>
      <c r="F46" s="864"/>
      <c r="G46" s="830"/>
      <c r="H46" s="831"/>
      <c r="I46" s="78"/>
      <c r="J46" s="78"/>
      <c r="K46" s="78"/>
    </row>
    <row r="47" spans="1:11" ht="15.75" thickBot="1">
      <c r="A47" s="801"/>
      <c r="B47" s="802"/>
      <c r="C47" s="803" t="str">
        <f>C43</f>
        <v>Votre compte de résultat</v>
      </c>
      <c r="D47" s="804"/>
      <c r="E47" s="105"/>
      <c r="F47" s="658"/>
      <c r="G47" s="624"/>
      <c r="H47" s="659"/>
      <c r="I47" s="78"/>
      <c r="J47" s="78"/>
      <c r="K47" s="78"/>
    </row>
    <row r="48" spans="1:11" ht="15.75" thickBot="1">
      <c r="A48" s="794" t="s">
        <v>164</v>
      </c>
      <c r="B48" s="795"/>
      <c r="C48" s="805"/>
      <c r="D48" s="806"/>
      <c r="E48" s="653"/>
      <c r="F48" s="106"/>
      <c r="G48" s="107"/>
      <c r="H48" s="108"/>
      <c r="I48" s="78"/>
      <c r="J48" s="78"/>
      <c r="K48" s="78"/>
    </row>
    <row r="49" spans="1:15" ht="15.75" thickBot="1">
      <c r="A49" s="809"/>
      <c r="B49" s="809"/>
      <c r="C49" s="789" t="s">
        <v>159</v>
      </c>
      <c r="D49" s="789"/>
      <c r="E49" s="781" t="str">
        <f>E41</f>
        <v>OU</v>
      </c>
      <c r="F49" s="868" t="str">
        <f>IF(B13="IR au réel simplifié","Case 048 colonne 2 Amort-Prov",IF(B13="IR au réel normal","Case BK colonne 2 Amort-Prov",""))</f>
        <v>Case 048 colonne 2 Amort-Prov</v>
      </c>
      <c r="G49" s="868"/>
      <c r="H49" s="868"/>
      <c r="I49" s="27"/>
      <c r="J49" s="27"/>
      <c r="K49" s="27"/>
    </row>
    <row r="50" spans="1:15" ht="15.75" thickBot="1">
      <c r="A50" s="79" t="s">
        <v>62</v>
      </c>
      <c r="B50" s="81"/>
      <c r="C50" s="790"/>
      <c r="D50" s="791"/>
      <c r="E50" s="787"/>
      <c r="F50" s="790"/>
      <c r="G50" s="811"/>
      <c r="H50" s="791"/>
      <c r="I50" s="78"/>
      <c r="J50" s="78"/>
      <c r="K50" s="78"/>
    </row>
    <row r="51" spans="1:15" ht="15.75" thickBot="1">
      <c r="A51" s="807"/>
      <c r="B51" s="808"/>
      <c r="C51" s="789" t="str">
        <f>C49</f>
        <v>Vos bilans comparés</v>
      </c>
      <c r="D51" s="789"/>
      <c r="E51" s="781" t="str">
        <f t="shared" ref="E51" si="1">E43</f>
        <v>OU</v>
      </c>
      <c r="F51" s="810" t="str">
        <f>IF(B13="IR au réel simplifié","Case 048 colonne 3 Net",IF(B13="IR au réel normal","Case BK colonne 3 Net",""))</f>
        <v>Case 048 colonne 3 Net</v>
      </c>
      <c r="G51" s="810"/>
      <c r="H51" s="810"/>
      <c r="I51" s="78"/>
      <c r="J51" s="78"/>
      <c r="K51" s="78"/>
    </row>
    <row r="52" spans="1:15" ht="15.75" thickBot="1">
      <c r="A52" s="794" t="s">
        <v>160</v>
      </c>
      <c r="B52" s="795"/>
      <c r="C52" s="790"/>
      <c r="D52" s="791"/>
      <c r="E52" s="787"/>
      <c r="F52" s="790"/>
      <c r="G52" s="811"/>
      <c r="H52" s="791"/>
      <c r="I52" s="78"/>
      <c r="J52" s="78"/>
      <c r="K52" s="78"/>
    </row>
    <row r="53" spans="1:15">
      <c r="A53" s="792"/>
      <c r="B53" s="793"/>
      <c r="C53" s="865" t="str">
        <f>C51</f>
        <v>Vos bilans comparés</v>
      </c>
      <c r="D53" s="865"/>
      <c r="E53" s="781" t="str">
        <f>E51</f>
        <v>OU</v>
      </c>
      <c r="F53" s="812" t="str">
        <f>IF(B13="IR au réel simplifié","Case 052 colonne 3 Net",IF(B13="IR au réel normal","Case BM colonne 3 Net",""))</f>
        <v>Case 052 colonne 3 Net</v>
      </c>
      <c r="G53" s="813"/>
      <c r="H53" s="814" t="str">
        <f>F53</f>
        <v>Case 052 colonne 3 Net</v>
      </c>
      <c r="I53" s="815"/>
    </row>
    <row r="54" spans="1:15" ht="15.75" thickBot="1">
      <c r="A54" s="794" t="s">
        <v>82</v>
      </c>
      <c r="B54" s="796"/>
      <c r="C54" s="866">
        <f>B22</f>
        <v>0</v>
      </c>
      <c r="D54" s="867"/>
      <c r="E54" s="782"/>
      <c r="F54" s="866">
        <f>C54</f>
        <v>0</v>
      </c>
      <c r="G54" s="867"/>
      <c r="H54" s="868">
        <f>C56</f>
        <v>0</v>
      </c>
      <c r="I54" s="868"/>
    </row>
    <row r="55" spans="1:15" ht="15.75" thickBot="1">
      <c r="C55" s="790"/>
      <c r="D55" s="791"/>
      <c r="E55" s="783"/>
      <c r="F55" s="790"/>
      <c r="G55" s="791"/>
      <c r="H55" s="790"/>
      <c r="I55" s="791"/>
    </row>
    <row r="56" spans="1:15" ht="15.75" thickBot="1">
      <c r="A56" s="91"/>
      <c r="B56" s="92"/>
      <c r="C56" s="858">
        <f>B23</f>
        <v>0</v>
      </c>
      <c r="D56" s="859"/>
      <c r="E56" s="782"/>
      <c r="F56" s="789" t="str">
        <f>IF(B13="IR au réel simplifié","Case 062 colonne 3 Net",IF(B13="IR au réel normal","Case BO colonne 3 Net",""))</f>
        <v>Case 062 colonne 3 Net</v>
      </c>
      <c r="G56" s="789"/>
      <c r="H56" s="810" t="str">
        <f>F56</f>
        <v>Case 062 colonne 3 Net</v>
      </c>
      <c r="I56" s="810"/>
      <c r="J56" s="80"/>
      <c r="K56" s="80"/>
      <c r="L56" s="69"/>
      <c r="M56" s="69"/>
      <c r="N56" s="69"/>
      <c r="O56" s="69"/>
    </row>
    <row r="57" spans="1:15" ht="15.75" thickBot="1">
      <c r="A57" s="72"/>
      <c r="B57" s="68"/>
      <c r="C57" s="790"/>
      <c r="D57" s="791"/>
      <c r="E57" s="783"/>
      <c r="F57" s="790"/>
      <c r="G57" s="811"/>
      <c r="H57" s="811"/>
      <c r="I57" s="791"/>
      <c r="J57" s="80"/>
      <c r="K57" s="80"/>
      <c r="L57" s="69"/>
      <c r="M57" s="69"/>
      <c r="N57" s="69"/>
      <c r="O57" s="69"/>
    </row>
    <row r="58" spans="1:15" ht="15.75" thickBot="1">
      <c r="A58" s="72"/>
      <c r="B58" s="68"/>
      <c r="C58" s="86"/>
      <c r="D58" s="89"/>
      <c r="E58" s="782"/>
      <c r="F58" s="789" t="str">
        <f>IF(B13="IR au réel simplifié","",IF(B13="IR au réel normal","Case BQ colonne 3 Net",""))</f>
        <v/>
      </c>
      <c r="G58" s="789"/>
      <c r="H58" s="810" t="str">
        <f>F58</f>
        <v/>
      </c>
      <c r="I58" s="810"/>
      <c r="J58" s="80"/>
      <c r="K58" s="80"/>
      <c r="L58" s="69"/>
      <c r="M58" s="69"/>
      <c r="N58" s="69"/>
      <c r="O58" s="69"/>
    </row>
    <row r="59" spans="1:15" ht="15.75" thickBot="1">
      <c r="A59" s="72"/>
      <c r="B59" s="68"/>
      <c r="C59" s="86"/>
      <c r="D59" s="89"/>
      <c r="E59" s="784"/>
      <c r="F59" s="790"/>
      <c r="G59" s="811"/>
      <c r="H59" s="811"/>
      <c r="I59" s="791"/>
      <c r="J59" s="80"/>
      <c r="K59" s="80"/>
      <c r="L59" s="69"/>
      <c r="M59" s="69"/>
      <c r="N59" s="69"/>
      <c r="O59" s="69"/>
    </row>
    <row r="60" spans="1:15" ht="15.75" thickBot="1">
      <c r="A60" s="72"/>
      <c r="B60" s="68"/>
      <c r="C60" s="86"/>
      <c r="D60" s="89"/>
      <c r="E60" s="782"/>
      <c r="F60" s="789" t="str">
        <f>IF(B13="IR au réel simplifié","",IF(B13="IR au réel normal","Case BS colonne 3 Net",""))</f>
        <v/>
      </c>
      <c r="G60" s="789"/>
      <c r="H60" s="810" t="str">
        <f>F60</f>
        <v/>
      </c>
      <c r="I60" s="810"/>
      <c r="J60" s="80"/>
      <c r="K60" s="80"/>
      <c r="L60" s="69"/>
      <c r="M60" s="69"/>
      <c r="N60" s="69"/>
      <c r="O60" s="69"/>
    </row>
    <row r="61" spans="1:15" ht="15.75" thickBot="1">
      <c r="A61" s="72"/>
      <c r="B61" s="68"/>
      <c r="C61" s="86"/>
      <c r="D61" s="89"/>
      <c r="E61" s="784"/>
      <c r="F61" s="790"/>
      <c r="G61" s="811"/>
      <c r="H61" s="811"/>
      <c r="I61" s="791"/>
      <c r="J61" s="80"/>
      <c r="K61" s="80"/>
      <c r="L61" s="69"/>
      <c r="M61" s="69"/>
      <c r="N61" s="69"/>
      <c r="O61" s="69"/>
    </row>
    <row r="62" spans="1:15" ht="15.75" thickBot="1">
      <c r="A62" s="72"/>
      <c r="B62" s="68"/>
      <c r="C62" s="86"/>
      <c r="D62" s="89"/>
      <c r="E62" s="782"/>
      <c r="F62" s="789" t="str">
        <f>IF(B13="IR au réel simplifié","",IF(B13="IR au réel normal","Case BU colonne 3 Net",""))</f>
        <v/>
      </c>
      <c r="G62" s="789"/>
      <c r="H62" s="810" t="str">
        <f>F62</f>
        <v/>
      </c>
      <c r="I62" s="810"/>
      <c r="J62" s="80"/>
      <c r="K62" s="80"/>
      <c r="L62" s="69"/>
      <c r="M62" s="69"/>
      <c r="N62" s="69"/>
      <c r="O62" s="69"/>
    </row>
    <row r="63" spans="1:15" ht="15.75" thickBot="1">
      <c r="A63" s="93"/>
      <c r="B63" s="94"/>
      <c r="C63" s="77"/>
      <c r="D63" s="90"/>
      <c r="E63" s="785"/>
      <c r="F63" s="790"/>
      <c r="G63" s="811"/>
      <c r="H63" s="811"/>
      <c r="I63" s="791"/>
      <c r="J63" s="80"/>
      <c r="K63" s="80"/>
      <c r="L63" s="69"/>
      <c r="M63" s="69"/>
      <c r="N63" s="69"/>
      <c r="O63" s="69"/>
    </row>
    <row r="64" spans="1:15" ht="15.75" thickBot="1">
      <c r="A64" s="792"/>
      <c r="B64" s="793"/>
      <c r="C64" s="789" t="str">
        <f>C53</f>
        <v>Vos bilans comparés</v>
      </c>
      <c r="D64" s="789"/>
      <c r="E64" s="781" t="str">
        <f t="shared" ref="E64" si="2">E49</f>
        <v>OU</v>
      </c>
      <c r="F64" s="789" t="str">
        <f>IF(B13="IR au réel simplifié","Case 066 colonne 3 Net",IF(B13="IR au réel normal","Case BW colonne 3 Net",""))</f>
        <v>Case 066 colonne 3 Net</v>
      </c>
      <c r="G64" s="789"/>
      <c r="H64" s="86"/>
      <c r="I64" s="80"/>
      <c r="J64" s="78"/>
      <c r="K64" s="78"/>
    </row>
    <row r="65" spans="1:11" ht="15.75" thickBot="1">
      <c r="A65" s="794" t="s">
        <v>161</v>
      </c>
      <c r="B65" s="795"/>
      <c r="C65" s="790"/>
      <c r="D65" s="791"/>
      <c r="E65" s="787"/>
      <c r="F65" s="790"/>
      <c r="G65" s="791"/>
      <c r="H65" s="80"/>
      <c r="I65" s="80"/>
      <c r="J65" s="78"/>
      <c r="K65" s="78"/>
    </row>
    <row r="66" spans="1:11" ht="15.75" thickBot="1">
      <c r="A66" s="792"/>
      <c r="B66" s="793"/>
      <c r="C66" s="789" t="str">
        <f>C64</f>
        <v>Vos bilans comparés</v>
      </c>
      <c r="D66" s="789"/>
      <c r="E66" s="781" t="str">
        <f t="shared" ref="E66" si="3">E51</f>
        <v>OU</v>
      </c>
      <c r="F66" s="789" t="str">
        <f>IF(B13="IR au réel simplifié","Case 070 colonne 3 Net",IF(B13="IR au réel normal","Case BY colonne 3 Net",""))</f>
        <v>Case 070 colonne 3 Net</v>
      </c>
      <c r="G66" s="789"/>
      <c r="H66" s="86"/>
      <c r="I66" s="80"/>
      <c r="J66" s="78"/>
      <c r="K66" s="78"/>
    </row>
    <row r="67" spans="1:11" ht="15.75" thickBot="1">
      <c r="A67" s="794" t="s">
        <v>85</v>
      </c>
      <c r="B67" s="795"/>
      <c r="C67" s="790"/>
      <c r="D67" s="791"/>
      <c r="E67" s="787"/>
      <c r="F67" s="790"/>
      <c r="G67" s="791"/>
      <c r="H67" s="80"/>
      <c r="I67" s="80"/>
      <c r="J67" s="78"/>
      <c r="K67" s="78"/>
    </row>
    <row r="68" spans="1:11" ht="15.75" thickBot="1">
      <c r="A68" s="792"/>
      <c r="B68" s="793"/>
      <c r="C68" s="789" t="str">
        <f>C66</f>
        <v>Vos bilans comparés</v>
      </c>
      <c r="D68" s="789"/>
      <c r="E68" s="781" t="str">
        <f t="shared" ref="E68" si="4">E53</f>
        <v>OU</v>
      </c>
      <c r="F68" s="789" t="str">
        <f>IF(B13="IR au réel simplifié","Case 074 colonne 3 Net",IF(B13="IR au réel normal","Case CA colonne 3 Net",""))</f>
        <v>Case 074 colonne 3 Net</v>
      </c>
      <c r="G68" s="789"/>
      <c r="H68" s="80"/>
      <c r="I68" s="80"/>
      <c r="J68" s="78"/>
      <c r="K68" s="78"/>
    </row>
    <row r="69" spans="1:11" ht="15.75" thickBot="1">
      <c r="A69" s="794" t="s">
        <v>83</v>
      </c>
      <c r="B69" s="795"/>
      <c r="C69" s="790"/>
      <c r="D69" s="791"/>
      <c r="E69" s="787"/>
      <c r="F69" s="790"/>
      <c r="G69" s="791"/>
      <c r="H69" s="80"/>
      <c r="I69" s="80"/>
      <c r="J69" s="78"/>
      <c r="K69" s="87"/>
    </row>
    <row r="70" spans="1:11" ht="15.75" thickBot="1">
      <c r="A70" s="792"/>
      <c r="B70" s="793"/>
      <c r="C70" s="789" t="str">
        <f>C68</f>
        <v>Vos bilans comparés</v>
      </c>
      <c r="D70" s="789"/>
      <c r="E70" s="781" t="str">
        <f t="shared" ref="E70" si="5">E64</f>
        <v>OU</v>
      </c>
      <c r="F70" s="810" t="str">
        <f>IF(B13="IR au réel simplifié","Case 082 colonne 3 Net",IF(B13="IR au réel normal","Case CE colonne 3 Net",""))</f>
        <v>Case 082 colonne 3 Net</v>
      </c>
      <c r="G70" s="810"/>
      <c r="H70" s="19"/>
      <c r="I70" s="19"/>
      <c r="J70" s="78"/>
      <c r="K70" s="87"/>
    </row>
    <row r="71" spans="1:11" ht="15.75" thickBot="1">
      <c r="A71" s="794" t="s">
        <v>63</v>
      </c>
      <c r="B71" s="795"/>
      <c r="C71" s="790"/>
      <c r="D71" s="791"/>
      <c r="E71" s="783"/>
      <c r="F71" s="790"/>
      <c r="G71" s="791"/>
      <c r="H71" s="19"/>
      <c r="I71" s="19"/>
      <c r="J71" s="78"/>
      <c r="K71" s="78"/>
    </row>
    <row r="72" spans="1:11" ht="15.75" thickBot="1">
      <c r="A72" s="91"/>
      <c r="B72" s="95"/>
      <c r="C72" s="86"/>
      <c r="D72" s="89"/>
      <c r="E72" s="786"/>
      <c r="F72" s="810" t="str">
        <f>IF(B13="IR au réel simplifié","Case 086 colonne 3 Net",IF(B13="IR au réel normal","Case CG colonne 3 Net",""))</f>
        <v>Case 086 colonne 3 Net</v>
      </c>
      <c r="G72" s="810"/>
      <c r="H72" s="80"/>
      <c r="I72" s="80"/>
      <c r="J72" s="78"/>
      <c r="K72" s="78"/>
    </row>
    <row r="73" spans="1:11" ht="15.75" thickBot="1">
      <c r="A73" s="93"/>
      <c r="B73" s="96"/>
      <c r="C73" s="77"/>
      <c r="D73" s="90"/>
      <c r="E73" s="787"/>
      <c r="F73" s="790"/>
      <c r="G73" s="791"/>
      <c r="H73" s="80"/>
      <c r="I73" s="80"/>
      <c r="J73" s="78"/>
      <c r="K73" s="78"/>
    </row>
    <row r="74" spans="1:11" ht="15.75" thickBot="1">
      <c r="A74" s="792"/>
      <c r="B74" s="793"/>
      <c r="C74" s="789" t="str">
        <f>C70</f>
        <v>Vos bilans comparés</v>
      </c>
      <c r="D74" s="789"/>
      <c r="E74" s="781" t="str">
        <f t="shared" ref="E74" si="6">E66</f>
        <v>OU</v>
      </c>
      <c r="F74" s="789" t="str">
        <f>IF(B13="IR au réel simplifié","Case 094 colonne 3 Net",IF(B13="IR au réel normal","Case CI colonne 3 Net",""))</f>
        <v>Case 094 colonne 3 Net</v>
      </c>
      <c r="G74" s="789"/>
      <c r="H74" s="80"/>
      <c r="I74" s="80"/>
      <c r="J74" s="78"/>
      <c r="K74" s="78"/>
    </row>
    <row r="75" spans="1:11" ht="15.75" thickBot="1">
      <c r="A75" s="794" t="s">
        <v>93</v>
      </c>
      <c r="B75" s="795"/>
      <c r="C75" s="790"/>
      <c r="D75" s="791"/>
      <c r="E75" s="787"/>
      <c r="F75" s="790"/>
      <c r="G75" s="791"/>
      <c r="H75" s="80"/>
      <c r="I75" s="80"/>
      <c r="J75" s="78"/>
      <c r="K75" s="78"/>
    </row>
    <row r="76" spans="1:11" ht="15.75" thickBot="1">
      <c r="A76" s="792"/>
      <c r="B76" s="793"/>
      <c r="C76" s="789" t="str">
        <f>C74</f>
        <v>Vos bilans comparés</v>
      </c>
      <c r="D76" s="789"/>
      <c r="E76" s="781" t="str">
        <f t="shared" ref="E76" si="7">E68</f>
        <v>OU</v>
      </c>
      <c r="F76" s="810" t="str">
        <f>IF(B13="IR au réel simplifié","Case 112 colonne 3 Net",IF(B13="IR au réel normal","Case 1A colonne 3 Net",""))</f>
        <v>Case 112 colonne 3 Net</v>
      </c>
      <c r="G76" s="810"/>
      <c r="H76" s="78"/>
      <c r="I76" s="78"/>
      <c r="J76" s="78"/>
      <c r="K76" s="78"/>
    </row>
    <row r="77" spans="1:11" ht="15.75" thickBot="1">
      <c r="A77" s="794" t="s">
        <v>64</v>
      </c>
      <c r="B77" s="795"/>
      <c r="C77" s="790"/>
      <c r="D77" s="791"/>
      <c r="E77" s="787"/>
      <c r="F77" s="790"/>
      <c r="G77" s="791"/>
      <c r="H77" s="78"/>
      <c r="I77" s="78"/>
      <c r="J77" s="78"/>
      <c r="K77" s="78"/>
    </row>
    <row r="78" spans="1:11" ht="15.75" thickBot="1">
      <c r="A78" s="816"/>
      <c r="B78" s="817"/>
      <c r="C78" s="789" t="str">
        <f>C76</f>
        <v>Vos bilans comparés</v>
      </c>
      <c r="D78" s="789"/>
      <c r="E78" s="781" t="str">
        <f t="shared" ref="E78" si="8">E70</f>
        <v>OU</v>
      </c>
      <c r="F78" s="527" t="str">
        <f>IF(B13="IR au réel simplifié","Case 169",IF(B13="IR au réel normal","Case EA",""))</f>
        <v>Case 169</v>
      </c>
      <c r="G78" s="78"/>
      <c r="H78" s="78"/>
      <c r="I78" s="87"/>
      <c r="J78" s="78"/>
      <c r="K78" s="78"/>
    </row>
    <row r="79" spans="1:11" ht="15.75" thickBot="1">
      <c r="A79" s="81" t="s">
        <v>65</v>
      </c>
      <c r="B79" s="652"/>
      <c r="C79" s="790"/>
      <c r="D79" s="791"/>
      <c r="E79" s="787"/>
      <c r="F79" s="665"/>
      <c r="G79" s="78"/>
      <c r="H79" s="78"/>
      <c r="I79" s="78"/>
      <c r="J79" s="78"/>
      <c r="K79" s="78"/>
    </row>
    <row r="80" spans="1:11" ht="15.75" thickBot="1">
      <c r="A80" s="110"/>
      <c r="B80" s="111"/>
      <c r="C80" s="820"/>
      <c r="D80" s="821"/>
      <c r="E80" s="112"/>
      <c r="F80" s="660" t="str">
        <f>IF(OR(ISBLANK(B11),B11="Entreprise Individuelle"),"",IF(B13="IR au réel simplifié","Case 120",IF(B13="IR au réel normal","Case DA","")))</f>
        <v/>
      </c>
      <c r="G80" s="78"/>
      <c r="H80" s="78"/>
      <c r="I80" s="78"/>
      <c r="J80" s="78"/>
      <c r="K80" s="78"/>
    </row>
    <row r="81" spans="1:11" ht="15.75" thickBot="1">
      <c r="A81" s="794" t="str">
        <f>IF(OR(ISBLANK(B11),B11="Entreprise Individuelle"),"","Capital Social")</f>
        <v/>
      </c>
      <c r="B81" s="795"/>
      <c r="C81" s="805">
        <f>+Présentation!B29</f>
        <v>0</v>
      </c>
      <c r="D81" s="806"/>
      <c r="E81" s="654"/>
      <c r="F81" s="665"/>
      <c r="G81" s="78"/>
      <c r="H81" s="78"/>
      <c r="I81" s="78"/>
      <c r="J81" s="78"/>
      <c r="K81" s="78"/>
    </row>
    <row r="82" spans="1:11" ht="15.75" thickBot="1">
      <c r="A82" s="818"/>
      <c r="B82" s="819"/>
      <c r="C82" s="789" t="str">
        <f>C78</f>
        <v>Vos bilans comparés</v>
      </c>
      <c r="D82" s="789"/>
      <c r="E82" s="781" t="str">
        <f t="shared" ref="E82" si="9">E74</f>
        <v>OU</v>
      </c>
      <c r="F82" s="527" t="str">
        <f>IF(B13="IR au réel simplifié","Case 142",IF(B13="IR au réel normal","Case DL",""))</f>
        <v>Case 142</v>
      </c>
      <c r="G82" s="526" t="str">
        <f>IF(B13="IR au réel simplifié","",IF(B13="IR au réel normal","Case DO",""))</f>
        <v/>
      </c>
      <c r="H82" s="78"/>
      <c r="I82" s="78"/>
      <c r="J82" s="78"/>
      <c r="K82" s="78"/>
    </row>
    <row r="83" spans="1:11" ht="15.75" thickBot="1">
      <c r="A83" s="846" t="s">
        <v>46</v>
      </c>
      <c r="B83" s="847"/>
      <c r="C83" s="790"/>
      <c r="D83" s="791"/>
      <c r="E83" s="787"/>
      <c r="F83" s="665"/>
      <c r="G83" s="665"/>
      <c r="H83" s="78"/>
      <c r="I83" s="78"/>
      <c r="J83" s="78"/>
      <c r="K83" s="78"/>
    </row>
    <row r="84" spans="1:11" ht="15.75" thickBot="1">
      <c r="A84" s="850"/>
      <c r="B84" s="850"/>
      <c r="C84" s="789" t="str">
        <f>C82</f>
        <v>Vos bilans comparés</v>
      </c>
      <c r="D84" s="789"/>
      <c r="E84" s="781" t="str">
        <f t="shared" ref="E84" si="10">E76</f>
        <v>OU</v>
      </c>
      <c r="F84" s="655" t="str">
        <f>IF(B13="IR au réel simplifié","Case 154",IF(B13="IR au réel normal","Case DR",""))</f>
        <v>Case 154</v>
      </c>
      <c r="G84" s="88"/>
      <c r="H84" s="78"/>
      <c r="I84" s="78"/>
      <c r="J84" s="78"/>
      <c r="K84" s="78"/>
    </row>
    <row r="85" spans="1:11" ht="15.75" thickBot="1">
      <c r="A85" s="855" t="s">
        <v>78</v>
      </c>
      <c r="B85" s="851"/>
      <c r="C85" s="790">
        <v>0</v>
      </c>
      <c r="D85" s="791"/>
      <c r="E85" s="787"/>
      <c r="F85" s="665"/>
      <c r="G85" s="88"/>
      <c r="H85" s="78"/>
      <c r="I85" s="78"/>
      <c r="J85" s="78"/>
      <c r="K85" s="78"/>
    </row>
    <row r="86" spans="1:11" ht="15.75" thickBot="1">
      <c r="A86" s="846"/>
      <c r="B86" s="846"/>
      <c r="C86" s="789" t="str">
        <f>C84</f>
        <v>Vos bilans comparés</v>
      </c>
      <c r="D86" s="789"/>
      <c r="E86" s="781" t="str">
        <f t="shared" ref="E86" si="11">E78</f>
        <v>OU</v>
      </c>
      <c r="F86" s="661" t="str">
        <f>IF(B13="IR au réel simplifié","Case 156",IF(B13="IR au réel normal","Case DS",""))</f>
        <v>Case 156</v>
      </c>
      <c r="G86" s="554" t="str">
        <f>IF(B13="IR au réel simplifié","",IF(B13="IR au réel normal","Case DT",""))</f>
        <v/>
      </c>
      <c r="H86" s="554" t="str">
        <f>IF(B13="IR au réel simplifié","",IF(B13="IR au réel normal","Case DU",""))</f>
        <v/>
      </c>
      <c r="I86" s="19"/>
      <c r="K86" s="78"/>
    </row>
    <row r="87" spans="1:11" ht="15.75" thickBot="1">
      <c r="A87" s="848" t="s">
        <v>47</v>
      </c>
      <c r="B87" s="849"/>
      <c r="C87" s="790"/>
      <c r="D87" s="791"/>
      <c r="E87" s="783"/>
      <c r="F87" s="665"/>
      <c r="G87" s="665"/>
      <c r="H87" s="665"/>
      <c r="I87" s="19"/>
      <c r="K87" s="78"/>
    </row>
    <row r="88" spans="1:11" ht="15.75" thickBot="1">
      <c r="A88" s="84"/>
      <c r="B88" s="85"/>
      <c r="C88" s="86"/>
      <c r="D88" s="89"/>
      <c r="E88" s="782"/>
      <c r="F88" s="661" t="str">
        <f>IF(B13="IR au réel simplifié","",IF(B13="IR au réel normal","Case DV",""))</f>
        <v/>
      </c>
      <c r="G88" s="662" t="str">
        <f>IF(B13="IR au réel simplifié","",IF(B13="IR au réel normal","Case EH",""))</f>
        <v/>
      </c>
      <c r="H88" s="80"/>
      <c r="I88" s="80"/>
      <c r="J88" s="80"/>
      <c r="K88" s="78"/>
    </row>
    <row r="89" spans="1:11" ht="15.75" thickBot="1">
      <c r="A89" s="97"/>
      <c r="B89" s="98"/>
      <c r="C89" s="77"/>
      <c r="D89" s="90"/>
      <c r="E89" s="785"/>
      <c r="F89" s="650"/>
      <c r="G89" s="651"/>
      <c r="H89" s="80"/>
      <c r="I89" s="80"/>
      <c r="J89" s="80"/>
      <c r="K89" s="78"/>
    </row>
    <row r="90" spans="1:11" ht="15.75" thickBot="1">
      <c r="A90" s="812"/>
      <c r="B90" s="813"/>
      <c r="C90" s="858" t="str">
        <f>C86</f>
        <v>Vos bilans comparés</v>
      </c>
      <c r="D90" s="859"/>
      <c r="E90" s="781" t="str">
        <f t="shared" ref="E90" si="12">E82</f>
        <v>OU</v>
      </c>
      <c r="F90" s="655" t="str">
        <f>IF(B13="IR au réel simplifié","Case 164",IF(B13="IR au réel normal","Case DW",""))</f>
        <v>Case 164</v>
      </c>
      <c r="G90" s="78"/>
      <c r="H90" s="78"/>
      <c r="I90" s="78"/>
      <c r="J90" s="78"/>
      <c r="K90" s="603"/>
    </row>
    <row r="91" spans="1:11" ht="15.75" thickBot="1">
      <c r="A91" s="851" t="s">
        <v>86</v>
      </c>
      <c r="B91" s="852"/>
      <c r="C91" s="805"/>
      <c r="D91" s="806"/>
      <c r="E91" s="787"/>
      <c r="F91" s="665"/>
      <c r="G91" s="78"/>
      <c r="H91" s="78"/>
      <c r="J91" s="78"/>
      <c r="K91" s="78"/>
    </row>
    <row r="92" spans="1:11" ht="15.75" thickBot="1">
      <c r="A92" s="809"/>
      <c r="B92" s="809"/>
      <c r="C92" s="789" t="str">
        <f>C90</f>
        <v>Vos bilans comparés</v>
      </c>
      <c r="D92" s="789"/>
      <c r="E92" s="781" t="str">
        <f t="shared" ref="E92" si="13">E84</f>
        <v>OU</v>
      </c>
      <c r="F92" s="661" t="str">
        <f>IF(B13="IR au réel simplifié","Case 166",IF(B13="IR au réel normal","Case DX",""))</f>
        <v>Case 166</v>
      </c>
      <c r="H92" s="78"/>
      <c r="J92" s="78"/>
      <c r="K92" s="78"/>
    </row>
    <row r="93" spans="1:11" ht="15.75" thickBot="1">
      <c r="A93" s="809" t="s">
        <v>66</v>
      </c>
      <c r="B93" s="845"/>
      <c r="C93" s="790"/>
      <c r="D93" s="791"/>
      <c r="E93" s="787"/>
      <c r="F93" s="665"/>
      <c r="H93" s="78"/>
      <c r="I93" s="87"/>
      <c r="J93" s="78"/>
      <c r="K93" s="78"/>
    </row>
    <row r="94" spans="1:11" ht="15.75" thickBot="1">
      <c r="A94" s="801"/>
      <c r="B94" s="802"/>
      <c r="C94" s="858" t="str">
        <f>C92</f>
        <v>Vos bilans comparés</v>
      </c>
      <c r="D94" s="859"/>
      <c r="E94" s="781" t="str">
        <f t="shared" ref="E94" si="14">E86</f>
        <v>OU</v>
      </c>
      <c r="F94" s="663" t="str">
        <f>IF(B13="IR au réel simplifié","Case 172",IF(B13="IR au réel normal","Case EA",""))</f>
        <v>Case 172</v>
      </c>
      <c r="G94" s="233" t="str">
        <f>IF(B13="IR au réel simplifié","",IF(B13="IR au réel normal","Case DY",""))</f>
        <v/>
      </c>
      <c r="H94" s="657" t="str">
        <f>IF(B13="IR au réel simplifié","",IF(B13="IR au réel normal","Case DZ",""))</f>
        <v/>
      </c>
      <c r="I94" s="87"/>
      <c r="J94" s="78"/>
      <c r="K94" s="78"/>
    </row>
    <row r="95" spans="1:11" ht="15.75" thickBot="1">
      <c r="A95" s="794" t="s">
        <v>84</v>
      </c>
      <c r="B95" s="795"/>
      <c r="C95" s="805"/>
      <c r="D95" s="806"/>
      <c r="E95" s="787"/>
      <c r="F95" s="650"/>
      <c r="G95" s="666"/>
      <c r="H95" s="651"/>
      <c r="I95" s="78"/>
      <c r="J95" s="78"/>
      <c r="K95" s="78"/>
    </row>
    <row r="96" spans="1:11" ht="15.75" thickBot="1">
      <c r="A96" s="794"/>
      <c r="B96" s="796"/>
      <c r="C96" s="858" t="str">
        <f>C98</f>
        <v>Vos bilans comparés</v>
      </c>
      <c r="D96" s="859"/>
      <c r="E96" s="781" t="str">
        <f t="shared" ref="E96" si="15">E90</f>
        <v>OU</v>
      </c>
      <c r="F96" s="655" t="str">
        <f>IF(B13="IR au réel simplifié","Case 174",IF(B13="IR au réel normal","Case EB",""))</f>
        <v>Case 174</v>
      </c>
      <c r="G96" s="78"/>
      <c r="H96" s="78"/>
      <c r="I96" s="78"/>
      <c r="J96" s="78"/>
      <c r="K96" s="78"/>
    </row>
    <row r="97" spans="1:12" ht="15.75" thickBot="1">
      <c r="A97" s="794" t="s">
        <v>94</v>
      </c>
      <c r="B97" s="795"/>
      <c r="C97" s="805"/>
      <c r="D97" s="806"/>
      <c r="E97" s="787"/>
      <c r="F97" s="665"/>
      <c r="G97" s="78"/>
      <c r="H97" s="78"/>
      <c r="I97" s="78"/>
      <c r="J97" s="78"/>
      <c r="K97" s="78"/>
    </row>
    <row r="98" spans="1:12" ht="15.75" thickBot="1">
      <c r="A98" s="853"/>
      <c r="B98" s="853"/>
      <c r="C98" s="860" t="str">
        <f>C92</f>
        <v>Vos bilans comparés</v>
      </c>
      <c r="D98" s="861"/>
      <c r="E98" s="781" t="str">
        <f t="shared" ref="E98" si="16">E92</f>
        <v>OU</v>
      </c>
      <c r="F98" s="664" t="str">
        <f>IF(B13="IR au réel simplifié","Case 176",IF(B13="IR au réel normal","Case EC",""))</f>
        <v>Case 176</v>
      </c>
      <c r="G98" s="78"/>
      <c r="H98" s="78"/>
      <c r="I98" s="78"/>
      <c r="J98" s="78"/>
      <c r="K98" s="78"/>
    </row>
    <row r="99" spans="1:12" ht="26.25" customHeight="1" thickBot="1">
      <c r="A99" s="853" t="s">
        <v>68</v>
      </c>
      <c r="B99" s="854"/>
      <c r="C99" s="856"/>
      <c r="D99" s="857"/>
      <c r="E99" s="787"/>
      <c r="F99" s="667"/>
      <c r="G99" s="78"/>
      <c r="H99" s="78"/>
      <c r="I99" s="78"/>
      <c r="J99" s="78"/>
      <c r="K99" s="78"/>
    </row>
    <row r="100" spans="1:12" ht="15.75" thickBot="1">
      <c r="A100" s="809"/>
      <c r="B100" s="809"/>
      <c r="C100" s="789" t="str">
        <f>C92</f>
        <v>Vos bilans comparés</v>
      </c>
      <c r="D100" s="789"/>
      <c r="E100" s="781" t="str">
        <f t="shared" ref="E100" si="17">E94</f>
        <v>OU</v>
      </c>
      <c r="F100" s="527" t="str">
        <f>IF(B13="IR au réel simplifié","Case180",IF(B13="IR au réel normal","Case EE",""))</f>
        <v>Case180</v>
      </c>
      <c r="G100" s="78"/>
      <c r="H100" s="78"/>
      <c r="I100" s="78"/>
      <c r="J100" s="78"/>
      <c r="K100" s="78"/>
    </row>
    <row r="101" spans="1:12" ht="15.75" thickBot="1">
      <c r="A101" s="809" t="s">
        <v>58</v>
      </c>
      <c r="B101" s="845"/>
      <c r="C101" s="790"/>
      <c r="D101" s="791"/>
      <c r="E101" s="787"/>
      <c r="F101" s="665"/>
      <c r="G101" s="78"/>
      <c r="H101" s="78"/>
      <c r="I101" s="78"/>
      <c r="J101" s="78"/>
      <c r="K101" s="78"/>
    </row>
    <row r="102" spans="1:12" ht="15.75" thickBot="1">
      <c r="A102" s="809"/>
      <c r="B102" s="809"/>
      <c r="C102" s="789" t="s">
        <v>162</v>
      </c>
      <c r="D102" s="789"/>
      <c r="E102" s="781" t="str">
        <f t="shared" ref="E102" si="18">E96</f>
        <v>OU</v>
      </c>
      <c r="F102" s="527" t="str">
        <f>IF(B13="IR au réel simplifié","Case 254",IF(B13="IR au réel normal","Case GA",""))</f>
        <v>Case 254</v>
      </c>
      <c r="G102" s="526" t="str">
        <f>IF(B13="IR au réel simplifié","Case 256",IF(B13="IR au réel normal","Case GB",""))</f>
        <v>Case 256</v>
      </c>
      <c r="H102" s="526" t="str">
        <f>IF(B13="IR au réel simplifié","Case 230",IF(B13="IR au réel normal","Case GC",""))</f>
        <v>Case 230</v>
      </c>
      <c r="L102" s="87"/>
    </row>
    <row r="103" spans="1:12" ht="15.75" thickBot="1">
      <c r="A103" s="822" t="s">
        <v>67</v>
      </c>
      <c r="B103" s="794"/>
      <c r="C103" s="790"/>
      <c r="D103" s="791"/>
      <c r="E103" s="787"/>
      <c r="F103" s="650"/>
      <c r="G103" s="666"/>
      <c r="H103" s="651"/>
      <c r="J103" s="78"/>
      <c r="K103" s="78"/>
    </row>
    <row r="104" spans="1:12" ht="15.75" thickBot="1">
      <c r="A104" s="871" t="s">
        <v>181</v>
      </c>
      <c r="B104" s="872"/>
      <c r="C104" s="873"/>
      <c r="D104" s="873"/>
      <c r="E104" s="874"/>
      <c r="F104" s="527" t="str">
        <f>IF(B13="IR au réel simplifié","",IF(B13="IR au réel normal","Case GD",""))</f>
        <v/>
      </c>
      <c r="G104" s="527" t="str">
        <f>IF(B13="IR au réel simplifié","",IF(B13="IR au réel normal","Case GM",""))</f>
        <v/>
      </c>
      <c r="H104" s="527" t="str">
        <f>IF(B13="IR au réel simplifié","",IF(B13="IR au réel normal","Case GQ",""))</f>
        <v/>
      </c>
      <c r="J104" s="78"/>
      <c r="K104" s="78"/>
    </row>
    <row r="105" spans="1:12" ht="15" customHeight="1" thickBot="1">
      <c r="A105" s="875"/>
      <c r="B105" s="873"/>
      <c r="C105" s="873"/>
      <c r="D105" s="873"/>
      <c r="E105" s="873"/>
      <c r="F105" s="650"/>
      <c r="G105" s="666"/>
      <c r="H105" s="651"/>
      <c r="K105" s="78"/>
    </row>
    <row r="106" spans="1:12" ht="15.75" thickBot="1">
      <c r="A106" s="875"/>
      <c r="B106" s="873"/>
      <c r="C106" s="873"/>
      <c r="D106" s="873"/>
      <c r="E106" s="876"/>
      <c r="F106" s="527" t="str">
        <f>IF(B13="IR au réel simplifié","",IF(B13="IR au réel normal","Case HG",""))</f>
        <v/>
      </c>
      <c r="G106" s="527" t="str">
        <f>IF(B13="IR au réel simplifié","",IF(B13="IR au réel normal","Case HC",""))</f>
        <v/>
      </c>
      <c r="H106" s="527" t="str">
        <f>IF(B13="IR au réel simplifié","",IF(B13="IR au réel normal","Case HB",""))</f>
        <v/>
      </c>
      <c r="K106" s="78"/>
    </row>
    <row r="107" spans="1:12" ht="15.75" thickBot="1">
      <c r="A107" s="875"/>
      <c r="B107" s="873"/>
      <c r="C107" s="873"/>
      <c r="D107" s="873"/>
      <c r="E107" s="873"/>
      <c r="F107" s="650"/>
      <c r="G107" s="666"/>
      <c r="H107" s="651"/>
      <c r="J107" s="78"/>
      <c r="K107" s="78"/>
    </row>
    <row r="108" spans="1:12" ht="15.75" thickBot="1">
      <c r="A108" s="875"/>
      <c r="B108" s="873"/>
      <c r="C108" s="873"/>
      <c r="D108" s="873"/>
      <c r="E108" s="876"/>
      <c r="F108" s="527" t="str">
        <f>IF(B13="IR au réel simplifié","",IF(B13="IR au réel normal","Case HF",""))</f>
        <v/>
      </c>
      <c r="G108" s="527" t="str">
        <f>IF(B13="IR au réel simplifié","",IF(B13="IR au réel normal","Case FP",""))</f>
        <v/>
      </c>
      <c r="H108" s="78"/>
    </row>
    <row r="109" spans="1:12" ht="15.75" thickBot="1">
      <c r="A109" s="877"/>
      <c r="B109" s="878"/>
      <c r="C109" s="878"/>
      <c r="D109" s="878"/>
      <c r="E109" s="878"/>
      <c r="F109" s="650"/>
      <c r="G109" s="651"/>
    </row>
    <row r="110" spans="1:12">
      <c r="C110" s="113"/>
    </row>
  </sheetData>
  <sheetProtection password="CF95" sheet="1" objects="1" scenarios="1"/>
  <mergeCells count="210">
    <mergeCell ref="E35:E38"/>
    <mergeCell ref="E41:E42"/>
    <mergeCell ref="F66:G66"/>
    <mergeCell ref="H54:I54"/>
    <mergeCell ref="H55:I55"/>
    <mergeCell ref="A104:E109"/>
    <mergeCell ref="E100:E101"/>
    <mergeCell ref="E102:E103"/>
    <mergeCell ref="C35:D35"/>
    <mergeCell ref="F65:G65"/>
    <mergeCell ref="C64:D64"/>
    <mergeCell ref="C38:D38"/>
    <mergeCell ref="C36:D36"/>
    <mergeCell ref="C37:D37"/>
    <mergeCell ref="C39:D39"/>
    <mergeCell ref="C41:D41"/>
    <mergeCell ref="C42:D42"/>
    <mergeCell ref="C43:D43"/>
    <mergeCell ref="C40:D40"/>
    <mergeCell ref="F57:G57"/>
    <mergeCell ref="F64:G64"/>
    <mergeCell ref="E78:E79"/>
    <mergeCell ref="E82:E83"/>
    <mergeCell ref="E84:E85"/>
    <mergeCell ref="E90:E91"/>
    <mergeCell ref="E92:E93"/>
    <mergeCell ref="E94:E95"/>
    <mergeCell ref="E96:E97"/>
    <mergeCell ref="E98:E99"/>
    <mergeCell ref="E64:E65"/>
    <mergeCell ref="E66:E67"/>
    <mergeCell ref="E68:E69"/>
    <mergeCell ref="E74:E75"/>
    <mergeCell ref="C46:D46"/>
    <mergeCell ref="F58:G58"/>
    <mergeCell ref="F59:G59"/>
    <mergeCell ref="C53:D53"/>
    <mergeCell ref="C55:D55"/>
    <mergeCell ref="F54:G54"/>
    <mergeCell ref="F46:H46"/>
    <mergeCell ref="H57:I57"/>
    <mergeCell ref="F49:H49"/>
    <mergeCell ref="F50:H50"/>
    <mergeCell ref="F51:H51"/>
    <mergeCell ref="F52:H52"/>
    <mergeCell ref="C54:D54"/>
    <mergeCell ref="C56:D56"/>
    <mergeCell ref="C57:D57"/>
    <mergeCell ref="E43:E46"/>
    <mergeCell ref="F43:H43"/>
    <mergeCell ref="F44:H44"/>
    <mergeCell ref="F45:H45"/>
    <mergeCell ref="E49:E50"/>
    <mergeCell ref="E51:E52"/>
    <mergeCell ref="A35:B35"/>
    <mergeCell ref="A38:B38"/>
    <mergeCell ref="A41:B41"/>
    <mergeCell ref="A42:B42"/>
    <mergeCell ref="A43:B43"/>
    <mergeCell ref="A44:B44"/>
    <mergeCell ref="A45:B45"/>
    <mergeCell ref="A46:B46"/>
    <mergeCell ref="A36:B36"/>
    <mergeCell ref="A37:B37"/>
    <mergeCell ref="A40:B40"/>
    <mergeCell ref="A39:B39"/>
    <mergeCell ref="C102:D102"/>
    <mergeCell ref="C103:D103"/>
    <mergeCell ref="C78:D78"/>
    <mergeCell ref="C70:D70"/>
    <mergeCell ref="C71:D71"/>
    <mergeCell ref="C76:D76"/>
    <mergeCell ref="C77:D77"/>
    <mergeCell ref="C79:D79"/>
    <mergeCell ref="C82:D82"/>
    <mergeCell ref="C87:D87"/>
    <mergeCell ref="C84:D84"/>
    <mergeCell ref="C93:D93"/>
    <mergeCell ref="C92:D92"/>
    <mergeCell ref="C101:D101"/>
    <mergeCell ref="C99:D99"/>
    <mergeCell ref="C94:D94"/>
    <mergeCell ref="C96:D96"/>
    <mergeCell ref="C98:D98"/>
    <mergeCell ref="C83:D83"/>
    <mergeCell ref="C86:D86"/>
    <mergeCell ref="C97:D97"/>
    <mergeCell ref="C85:D85"/>
    <mergeCell ref="C90:D90"/>
    <mergeCell ref="C91:D91"/>
    <mergeCell ref="A101:B101"/>
    <mergeCell ref="A102:B102"/>
    <mergeCell ref="A103:B103"/>
    <mergeCell ref="A83:B83"/>
    <mergeCell ref="A86:B86"/>
    <mergeCell ref="A87:B87"/>
    <mergeCell ref="A84:B84"/>
    <mergeCell ref="A93:B93"/>
    <mergeCell ref="A92:B92"/>
    <mergeCell ref="A90:B90"/>
    <mergeCell ref="A91:B91"/>
    <mergeCell ref="A94:B94"/>
    <mergeCell ref="A95:B95"/>
    <mergeCell ref="A98:B98"/>
    <mergeCell ref="A99:B99"/>
    <mergeCell ref="A85:B85"/>
    <mergeCell ref="A96:B96"/>
    <mergeCell ref="A97:B97"/>
    <mergeCell ref="A100:B100"/>
    <mergeCell ref="A6:H7"/>
    <mergeCell ref="C23:D23"/>
    <mergeCell ref="C24:D24"/>
    <mergeCell ref="E21:E24"/>
    <mergeCell ref="C29:D29"/>
    <mergeCell ref="C30:D30"/>
    <mergeCell ref="E29:E30"/>
    <mergeCell ref="A30:B30"/>
    <mergeCell ref="A33:B33"/>
    <mergeCell ref="B13:C13"/>
    <mergeCell ref="A31:B31"/>
    <mergeCell ref="A32:B32"/>
    <mergeCell ref="A29:B29"/>
    <mergeCell ref="C31:D31"/>
    <mergeCell ref="C21:D21"/>
    <mergeCell ref="C22:D22"/>
    <mergeCell ref="C33:D33"/>
    <mergeCell ref="F20:H20"/>
    <mergeCell ref="E31:E32"/>
    <mergeCell ref="A34:B34"/>
    <mergeCell ref="F33:H33"/>
    <mergeCell ref="F34:H34"/>
    <mergeCell ref="C27:D27"/>
    <mergeCell ref="C28:D28"/>
    <mergeCell ref="A28:B28"/>
    <mergeCell ref="C32:D32"/>
    <mergeCell ref="E33:E34"/>
    <mergeCell ref="C34:D34"/>
    <mergeCell ref="C100:D100"/>
    <mergeCell ref="A65:B65"/>
    <mergeCell ref="A71:B71"/>
    <mergeCell ref="C66:D66"/>
    <mergeCell ref="C67:D67"/>
    <mergeCell ref="C68:D68"/>
    <mergeCell ref="C69:D69"/>
    <mergeCell ref="A66:B66"/>
    <mergeCell ref="A67:B67"/>
    <mergeCell ref="A68:B68"/>
    <mergeCell ref="A78:B78"/>
    <mergeCell ref="A82:B82"/>
    <mergeCell ref="C95:D95"/>
    <mergeCell ref="C65:D65"/>
    <mergeCell ref="C80:D80"/>
    <mergeCell ref="C81:D81"/>
    <mergeCell ref="A81:B81"/>
    <mergeCell ref="F72:G72"/>
    <mergeCell ref="F73:G73"/>
    <mergeCell ref="F77:G77"/>
    <mergeCell ref="F76:G76"/>
    <mergeCell ref="F70:G70"/>
    <mergeCell ref="F71:G71"/>
    <mergeCell ref="F74:G74"/>
    <mergeCell ref="F75:G75"/>
    <mergeCell ref="F60:G60"/>
    <mergeCell ref="F61:G61"/>
    <mergeCell ref="F62:G62"/>
    <mergeCell ref="F63:G63"/>
    <mergeCell ref="H63:I63"/>
    <mergeCell ref="H58:I58"/>
    <mergeCell ref="H59:I59"/>
    <mergeCell ref="H60:I60"/>
    <mergeCell ref="H61:I61"/>
    <mergeCell ref="F53:G53"/>
    <mergeCell ref="F56:G56"/>
    <mergeCell ref="F55:G55"/>
    <mergeCell ref="H56:I56"/>
    <mergeCell ref="H53:I53"/>
    <mergeCell ref="A47:B47"/>
    <mergeCell ref="C47:D47"/>
    <mergeCell ref="A48:B48"/>
    <mergeCell ref="C48:D48"/>
    <mergeCell ref="A51:B51"/>
    <mergeCell ref="A49:B49"/>
    <mergeCell ref="H62:I62"/>
    <mergeCell ref="C50:D50"/>
    <mergeCell ref="C51:D51"/>
    <mergeCell ref="C52:D52"/>
    <mergeCell ref="B2:H4"/>
    <mergeCell ref="E53:E63"/>
    <mergeCell ref="E70:E73"/>
    <mergeCell ref="E86:E89"/>
    <mergeCell ref="C20:D20"/>
    <mergeCell ref="C74:D74"/>
    <mergeCell ref="C75:D75"/>
    <mergeCell ref="A74:B74"/>
    <mergeCell ref="A75:B75"/>
    <mergeCell ref="A70:B70"/>
    <mergeCell ref="A76:B76"/>
    <mergeCell ref="A77:B77"/>
    <mergeCell ref="F67:G67"/>
    <mergeCell ref="F69:G69"/>
    <mergeCell ref="A69:B69"/>
    <mergeCell ref="F68:G68"/>
    <mergeCell ref="E76:E77"/>
    <mergeCell ref="A53:B53"/>
    <mergeCell ref="A54:B54"/>
    <mergeCell ref="A64:B64"/>
    <mergeCell ref="C44:D44"/>
    <mergeCell ref="C45:D45"/>
    <mergeCell ref="A52:B52"/>
    <mergeCell ref="C49:D4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BO!$D$2:$D$5</xm:f>
          </x14:formula1>
          <xm:sqref>B13:C13</xm:sqref>
        </x14:dataValidation>
        <x14:dataValidation type="list" allowBlank="1" showInputMessage="1" showErrorMessage="1">
          <x14:formula1>
            <xm:f>BO!$A$8:$A$11</xm:f>
          </x14:formula1>
          <xm:sqref>B17 B15</xm:sqref>
        </x14:dataValidation>
        <x14:dataValidation type="list" allowBlank="1" showInputMessage="1" showErrorMessage="1">
          <x14:formula1>
            <xm:f>BO!$A$2:$A$7</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A89"/>
  <sheetViews>
    <sheetView topLeftCell="A40" zoomScale="120" zoomScaleNormal="120" workbookViewId="0">
      <selection activeCell="F55" sqref="F55"/>
    </sheetView>
  </sheetViews>
  <sheetFormatPr baseColWidth="10" defaultRowHeight="15"/>
  <cols>
    <col min="1" max="1" width="10" customWidth="1"/>
    <col min="2" max="2" width="10.28515625" customWidth="1"/>
    <col min="3" max="3" width="10.42578125" customWidth="1"/>
    <col min="4" max="4" width="13" customWidth="1"/>
    <col min="5" max="5" width="10" customWidth="1"/>
    <col min="6" max="7" width="10.42578125" customWidth="1"/>
    <col min="8" max="8" width="12.7109375" customWidth="1"/>
    <col min="9" max="9" width="10.140625" customWidth="1"/>
    <col min="10" max="10" width="10.42578125" customWidth="1"/>
    <col min="11" max="11" width="10.28515625" customWidth="1"/>
    <col min="12" max="12" width="9.7109375" customWidth="1"/>
    <col min="13" max="13" width="10.85546875" customWidth="1"/>
    <col min="15" max="15" width="13" customWidth="1"/>
    <col min="17" max="17" width="3.42578125" customWidth="1"/>
    <col min="18" max="18" width="7" customWidth="1"/>
    <col min="19" max="20" width="9.42578125" customWidth="1"/>
    <col min="21" max="21" width="8.42578125" customWidth="1"/>
    <col min="22" max="22" width="8" customWidth="1"/>
    <col min="23" max="24" width="7.85546875" customWidth="1"/>
    <col min="25" max="25" width="8.140625" customWidth="1"/>
    <col min="26" max="26" width="8.28515625" customWidth="1"/>
    <col min="27" max="27" width="8.42578125" customWidth="1"/>
  </cols>
  <sheetData>
    <row r="1" spans="1:27">
      <c r="A1" s="1"/>
      <c r="B1" s="1"/>
      <c r="C1" s="1"/>
      <c r="D1" s="1"/>
      <c r="E1" s="1"/>
      <c r="F1" s="1"/>
      <c r="G1" s="1"/>
      <c r="H1" s="1"/>
      <c r="I1" s="1"/>
      <c r="J1" s="1"/>
      <c r="K1" s="1"/>
      <c r="L1" s="1"/>
      <c r="M1" s="1"/>
      <c r="N1" s="1"/>
      <c r="O1" s="1"/>
      <c r="P1" s="1"/>
      <c r="Q1" s="1"/>
      <c r="R1" s="1"/>
      <c r="S1" s="1"/>
      <c r="T1" s="1"/>
      <c r="U1" s="1"/>
      <c r="V1" s="1"/>
      <c r="W1" s="1"/>
      <c r="X1" s="1"/>
      <c r="Y1" s="1"/>
      <c r="Z1" s="1"/>
      <c r="AA1" s="1"/>
    </row>
    <row r="2" spans="1:27" ht="21" customHeight="1">
      <c r="A2" s="1"/>
      <c r="B2" s="1"/>
      <c r="C2" s="138"/>
      <c r="D2" s="898" t="s">
        <v>381</v>
      </c>
      <c r="E2" s="898"/>
      <c r="F2" s="898"/>
      <c r="G2" s="898"/>
      <c r="H2" s="2"/>
      <c r="I2" s="1"/>
      <c r="J2" s="1"/>
      <c r="K2" s="742" t="s">
        <v>382</v>
      </c>
      <c r="L2" s="742"/>
      <c r="M2" s="742"/>
      <c r="N2" s="742"/>
      <c r="O2" s="742"/>
      <c r="P2" s="742"/>
      <c r="Q2" s="1"/>
      <c r="R2" s="1"/>
      <c r="S2" s="1"/>
      <c r="T2" s="742" t="s">
        <v>236</v>
      </c>
      <c r="U2" s="742"/>
      <c r="V2" s="742"/>
      <c r="W2" s="742"/>
      <c r="X2" s="742"/>
      <c r="Y2" s="742"/>
      <c r="Z2" s="742"/>
      <c r="AA2" s="742"/>
    </row>
    <row r="3" spans="1:27" ht="21">
      <c r="A3" s="1"/>
      <c r="B3" s="1"/>
      <c r="C3" s="138"/>
      <c r="D3" s="898"/>
      <c r="E3" s="898"/>
      <c r="F3" s="898"/>
      <c r="G3" s="898"/>
      <c r="H3" s="2"/>
      <c r="I3" s="1"/>
      <c r="J3" s="1"/>
      <c r="K3" s="742"/>
      <c r="L3" s="742"/>
      <c r="M3" s="742"/>
      <c r="N3" s="742"/>
      <c r="O3" s="742"/>
      <c r="P3" s="742"/>
      <c r="Q3" s="1"/>
      <c r="R3" s="1"/>
      <c r="S3" s="1"/>
      <c r="T3" s="742"/>
      <c r="U3" s="742"/>
      <c r="V3" s="742"/>
      <c r="W3" s="742"/>
      <c r="X3" s="742"/>
      <c r="Y3" s="742"/>
      <c r="Z3" s="742"/>
      <c r="AA3" s="742"/>
    </row>
    <row r="4" spans="1:27" ht="21">
      <c r="C4" s="138"/>
      <c r="D4" s="898"/>
      <c r="E4" s="898"/>
      <c r="F4" s="898"/>
      <c r="G4" s="898"/>
      <c r="H4" s="2"/>
      <c r="K4" s="742"/>
      <c r="L4" s="742"/>
      <c r="M4" s="742"/>
      <c r="N4" s="742"/>
      <c r="O4" s="742"/>
      <c r="P4" s="742"/>
      <c r="T4" s="742"/>
      <c r="U4" s="742"/>
      <c r="V4" s="742"/>
      <c r="W4" s="742"/>
      <c r="X4" s="742"/>
      <c r="Y4" s="742"/>
      <c r="Z4" s="742"/>
      <c r="AA4" s="742"/>
    </row>
    <row r="6" spans="1:27" ht="11.25" customHeight="1">
      <c r="A6" s="139"/>
      <c r="B6" s="19"/>
      <c r="C6" s="19"/>
      <c r="D6" s="19"/>
      <c r="E6" s="19"/>
      <c r="F6" s="19"/>
      <c r="G6" s="19"/>
      <c r="H6" s="19"/>
      <c r="J6" s="19"/>
      <c r="K6" s="19"/>
      <c r="L6" s="19"/>
      <c r="M6" s="19"/>
      <c r="N6" s="19"/>
      <c r="O6" s="19"/>
      <c r="P6" s="19"/>
      <c r="Q6" s="884" t="s">
        <v>278</v>
      </c>
      <c r="R6" s="884"/>
      <c r="S6" s="884"/>
      <c r="T6" s="884"/>
      <c r="U6" s="884"/>
      <c r="V6" s="884"/>
      <c r="W6" s="884"/>
      <c r="X6" s="884"/>
      <c r="Y6" s="884"/>
      <c r="Z6" s="884"/>
      <c r="AA6" s="884"/>
    </row>
    <row r="7" spans="1:27" ht="15.75" thickBot="1">
      <c r="A7" s="685" t="s">
        <v>217</v>
      </c>
      <c r="B7" s="19"/>
      <c r="C7" s="19"/>
      <c r="D7" s="19"/>
      <c r="E7" s="19"/>
      <c r="F7" s="19"/>
      <c r="G7" s="19"/>
      <c r="H7" s="19"/>
      <c r="I7" s="139" t="s">
        <v>184</v>
      </c>
      <c r="J7" s="19"/>
      <c r="K7" s="19"/>
      <c r="L7" s="19"/>
      <c r="M7" s="19"/>
      <c r="N7" s="19"/>
      <c r="O7" s="19"/>
      <c r="P7" s="19"/>
      <c r="Q7" s="884"/>
      <c r="R7" s="884"/>
      <c r="S7" s="884"/>
      <c r="T7" s="884"/>
      <c r="U7" s="884"/>
      <c r="V7" s="884"/>
      <c r="W7" s="884"/>
      <c r="X7" s="884"/>
      <c r="Y7" s="884"/>
      <c r="Z7" s="884"/>
      <c r="AA7" s="884"/>
    </row>
    <row r="8" spans="1:27" ht="15.75" thickBot="1">
      <c r="A8" s="679"/>
      <c r="B8" s="686" t="s">
        <v>681</v>
      </c>
      <c r="C8" s="19"/>
      <c r="D8" s="19"/>
      <c r="E8" s="19"/>
      <c r="F8" s="19"/>
      <c r="G8" s="19"/>
      <c r="H8" s="19"/>
      <c r="I8" s="19"/>
      <c r="J8" s="19"/>
      <c r="K8" s="19"/>
      <c r="L8" s="19"/>
      <c r="M8" s="19"/>
      <c r="N8" s="19"/>
      <c r="O8" s="19"/>
      <c r="P8" s="19"/>
      <c r="Q8" s="884"/>
      <c r="R8" s="884"/>
      <c r="S8" s="884"/>
      <c r="T8" s="884"/>
      <c r="U8" s="884"/>
      <c r="V8" s="884"/>
      <c r="W8" s="884"/>
      <c r="X8" s="884"/>
      <c r="Y8" s="884"/>
      <c r="Z8" s="884"/>
      <c r="AA8" s="884"/>
    </row>
    <row r="9" spans="1:27" ht="15" customHeight="1" thickBot="1">
      <c r="A9" s="687" t="s">
        <v>218</v>
      </c>
      <c r="B9" s="571"/>
      <c r="C9" s="571"/>
      <c r="D9" s="571"/>
      <c r="E9" s="30"/>
      <c r="F9" s="30"/>
      <c r="G9" s="30"/>
      <c r="H9" s="30"/>
      <c r="I9" s="19" t="s">
        <v>211</v>
      </c>
      <c r="J9" s="19"/>
      <c r="K9" s="19"/>
      <c r="L9" s="19"/>
      <c r="M9" s="19"/>
      <c r="N9" s="19"/>
      <c r="O9" s="19"/>
      <c r="P9" s="19"/>
      <c r="Q9" s="885" t="s">
        <v>564</v>
      </c>
      <c r="R9" s="885"/>
      <c r="S9" s="885"/>
      <c r="T9" s="885"/>
      <c r="U9" s="885"/>
      <c r="V9" s="885"/>
      <c r="W9" s="885"/>
      <c r="X9" s="885"/>
      <c r="Y9" s="885"/>
      <c r="Z9" s="885"/>
      <c r="AA9" s="885"/>
    </row>
    <row r="10" spans="1:27" ht="15.75" thickBot="1">
      <c r="A10" s="19"/>
      <c r="B10" s="670"/>
      <c r="C10" s="29" t="s">
        <v>273</v>
      </c>
      <c r="D10" s="29"/>
      <c r="E10" s="19"/>
      <c r="F10" s="19"/>
      <c r="G10" s="19"/>
      <c r="H10" s="19"/>
      <c r="I10" s="19"/>
      <c r="J10" s="140" t="s">
        <v>212</v>
      </c>
      <c r="K10" s="19"/>
      <c r="L10" s="19"/>
      <c r="M10" s="19"/>
      <c r="N10" s="19"/>
      <c r="O10" s="19"/>
      <c r="P10" s="19"/>
      <c r="Q10" s="885"/>
      <c r="R10" s="885"/>
      <c r="S10" s="885"/>
      <c r="T10" s="885"/>
      <c r="U10" s="885"/>
      <c r="V10" s="885"/>
      <c r="W10" s="885"/>
      <c r="X10" s="885"/>
      <c r="Y10" s="885"/>
      <c r="Z10" s="885"/>
      <c r="AA10" s="885"/>
    </row>
    <row r="11" spans="1:27">
      <c r="A11" s="19"/>
      <c r="B11" s="146"/>
      <c r="C11" s="29"/>
      <c r="D11" s="29"/>
      <c r="E11" s="19"/>
      <c r="F11" s="19"/>
      <c r="G11" s="19"/>
      <c r="H11" s="19"/>
      <c r="I11" s="141" t="str">
        <f>TEXT(B10,"mmmm")</f>
        <v>janvier</v>
      </c>
      <c r="J11" s="607"/>
      <c r="K11" s="19"/>
      <c r="L11" s="19"/>
      <c r="M11" s="19"/>
      <c r="N11" s="19"/>
      <c r="O11" s="19"/>
      <c r="P11" s="19"/>
      <c r="Q11" s="885"/>
      <c r="R11" s="885"/>
      <c r="S11" s="885"/>
      <c r="T11" s="885"/>
      <c r="U11" s="885"/>
      <c r="V11" s="885"/>
      <c r="W11" s="885"/>
      <c r="X11" s="885"/>
      <c r="Y11" s="885"/>
      <c r="Z11" s="885"/>
      <c r="AA11" s="885"/>
    </row>
    <row r="12" spans="1:27" ht="15" customHeight="1">
      <c r="A12" s="19"/>
      <c r="B12" s="19"/>
      <c r="C12" s="19"/>
      <c r="D12" s="19"/>
      <c r="E12" s="19"/>
      <c r="F12" s="19"/>
      <c r="G12" s="19"/>
      <c r="H12" s="19"/>
      <c r="I12" s="142" t="str">
        <f>TEXT(EDATE(B10,1),"mmmm")</f>
        <v>janvier</v>
      </c>
      <c r="J12" s="607"/>
      <c r="K12" s="19"/>
      <c r="L12" s="19"/>
      <c r="M12" s="19"/>
      <c r="N12" s="19"/>
      <c r="O12" s="19"/>
      <c r="P12" s="19"/>
      <c r="Q12" s="19"/>
      <c r="R12" s="156"/>
      <c r="S12" s="157"/>
      <c r="T12" s="158"/>
      <c r="U12" s="174" t="str">
        <f>J25</f>
        <v>Année 1</v>
      </c>
      <c r="V12" s="174" t="str">
        <f t="shared" ref="V12:AA12" si="0">K25</f>
        <v/>
      </c>
      <c r="W12" s="174" t="str">
        <f t="shared" si="0"/>
        <v/>
      </c>
      <c r="X12" s="174" t="str">
        <f t="shared" si="0"/>
        <v/>
      </c>
      <c r="Y12" s="174" t="str">
        <f t="shared" si="0"/>
        <v/>
      </c>
      <c r="Z12" s="174" t="str">
        <f t="shared" si="0"/>
        <v/>
      </c>
      <c r="AA12" s="174" t="str">
        <f t="shared" si="0"/>
        <v/>
      </c>
    </row>
    <row r="13" spans="1:27" ht="15" customHeight="1">
      <c r="A13" s="892" t="s">
        <v>219</v>
      </c>
      <c r="B13" s="892"/>
      <c r="C13" s="892"/>
      <c r="D13" s="892"/>
      <c r="E13" s="892"/>
      <c r="F13" s="892"/>
      <c r="G13" s="892"/>
      <c r="H13" s="893"/>
      <c r="I13" s="142" t="str">
        <f>TEXT(EDATE(B10,2),"mmmm")</f>
        <v>février</v>
      </c>
      <c r="J13" s="607"/>
      <c r="K13" s="19"/>
      <c r="L13" s="19"/>
      <c r="M13" s="19"/>
      <c r="N13" s="19"/>
      <c r="O13" s="19"/>
      <c r="P13" s="19"/>
      <c r="Q13" s="886" t="s">
        <v>237</v>
      </c>
      <c r="R13" s="887" t="s">
        <v>238</v>
      </c>
      <c r="S13" s="888"/>
      <c r="T13" s="888"/>
      <c r="U13" s="463">
        <f>SUM(U14:U17)</f>
        <v>0</v>
      </c>
      <c r="V13" s="464">
        <f t="shared" ref="V13:AA13" si="1">SUM(V14:V17)</f>
        <v>0</v>
      </c>
      <c r="W13" s="464">
        <f t="shared" si="1"/>
        <v>0</v>
      </c>
      <c r="X13" s="464">
        <f t="shared" si="1"/>
        <v>0</v>
      </c>
      <c r="Y13" s="465">
        <f t="shared" si="1"/>
        <v>0</v>
      </c>
      <c r="Z13" s="175">
        <f t="shared" si="1"/>
        <v>0</v>
      </c>
      <c r="AA13" s="175">
        <f t="shared" si="1"/>
        <v>0</v>
      </c>
    </row>
    <row r="14" spans="1:27">
      <c r="A14" s="19"/>
      <c r="B14" s="606"/>
      <c r="C14" s="19"/>
      <c r="D14" s="19"/>
      <c r="E14" s="19"/>
      <c r="F14" s="19"/>
      <c r="G14" s="19"/>
      <c r="H14" s="19"/>
      <c r="I14" s="142" t="str">
        <f>TEXT(EDATE(B10,3),"mmmm")</f>
        <v>mars</v>
      </c>
      <c r="J14" s="607"/>
      <c r="K14" s="19"/>
      <c r="L14" s="19"/>
      <c r="M14" s="19"/>
      <c r="N14" s="19"/>
      <c r="O14" s="19"/>
      <c r="P14" s="19"/>
      <c r="Q14" s="886"/>
      <c r="R14" s="889" t="s">
        <v>239</v>
      </c>
      <c r="S14" s="890"/>
      <c r="T14" s="890"/>
      <c r="U14" s="468"/>
      <c r="V14" s="610"/>
      <c r="W14" s="611"/>
      <c r="X14" s="612"/>
      <c r="Y14" s="611"/>
      <c r="Z14" s="613"/>
      <c r="AA14" s="613"/>
    </row>
    <row r="15" spans="1:27">
      <c r="A15" s="19" t="str">
        <f>IF(B14="oui","De combien de mois à partir de la date de démarrage ?","")</f>
        <v/>
      </c>
      <c r="B15" s="19"/>
      <c r="C15" s="19"/>
      <c r="D15" s="19"/>
      <c r="E15" s="606"/>
      <c r="F15" s="19" t="str">
        <f>IF(B14&lt;&gt;"oui","","mois")</f>
        <v/>
      </c>
      <c r="G15" s="19"/>
      <c r="H15" s="19"/>
      <c r="I15" s="142" t="str">
        <f>TEXT(EDATE(B10,4),"mmmm")</f>
        <v>avril</v>
      </c>
      <c r="J15" s="607"/>
      <c r="K15" s="19"/>
      <c r="L15" s="19"/>
      <c r="M15" s="19"/>
      <c r="N15" s="19"/>
      <c r="O15" s="19"/>
      <c r="P15" s="19"/>
      <c r="Q15" s="886"/>
      <c r="R15" s="889" t="s">
        <v>240</v>
      </c>
      <c r="S15" s="890"/>
      <c r="T15" s="890"/>
      <c r="U15" s="468"/>
      <c r="V15" s="610"/>
      <c r="W15" s="611"/>
      <c r="X15" s="612"/>
      <c r="Y15" s="611"/>
      <c r="Z15" s="613"/>
      <c r="AA15" s="613"/>
    </row>
    <row r="16" spans="1:27">
      <c r="A16" s="19"/>
      <c r="B16" s="19"/>
      <c r="C16" s="19"/>
      <c r="D16" s="19"/>
      <c r="E16" s="19"/>
      <c r="F16" s="19"/>
      <c r="G16" s="29"/>
      <c r="H16" s="19"/>
      <c r="I16" s="142" t="str">
        <f>TEXT(EDATE(B10,5),"mmmm")</f>
        <v>mai</v>
      </c>
      <c r="J16" s="607"/>
      <c r="K16" s="19"/>
      <c r="L16" s="19"/>
      <c r="M16" s="19"/>
      <c r="N16" s="19"/>
      <c r="O16" s="19"/>
      <c r="P16" s="19"/>
      <c r="Q16" s="886"/>
      <c r="R16" s="159" t="s">
        <v>241</v>
      </c>
      <c r="S16" s="160"/>
      <c r="T16" s="406"/>
      <c r="U16" s="468"/>
      <c r="V16" s="610"/>
      <c r="W16" s="611"/>
      <c r="X16" s="612"/>
      <c r="Y16" s="611"/>
      <c r="Z16" s="613"/>
      <c r="AA16" s="613"/>
    </row>
    <row r="17" spans="1:27" ht="15" customHeight="1">
      <c r="A17" s="19"/>
      <c r="B17" s="19"/>
      <c r="C17" s="19"/>
      <c r="D17" s="19"/>
      <c r="E17" s="19"/>
      <c r="F17" s="19"/>
      <c r="G17" s="19"/>
      <c r="H17" s="19"/>
      <c r="I17" s="142" t="str">
        <f>TEXT(EDATE(B10,6),"mmmm")</f>
        <v>juin</v>
      </c>
      <c r="J17" s="607"/>
      <c r="K17" s="19"/>
      <c r="L17" s="19"/>
      <c r="M17" s="19"/>
      <c r="N17" s="19"/>
      <c r="O17" s="19"/>
      <c r="P17" s="19"/>
      <c r="Q17" s="886"/>
      <c r="R17" s="161" t="s">
        <v>242</v>
      </c>
      <c r="S17" s="891"/>
      <c r="T17" s="891"/>
      <c r="U17" s="468"/>
      <c r="V17" s="610"/>
      <c r="W17" s="611"/>
      <c r="X17" s="612"/>
      <c r="Y17" s="611"/>
      <c r="Z17" s="613"/>
      <c r="AA17" s="613"/>
    </row>
    <row r="18" spans="1:27" ht="15" customHeight="1">
      <c r="A18" s="894" t="s">
        <v>677</v>
      </c>
      <c r="B18" s="894"/>
      <c r="C18" s="894"/>
      <c r="D18" s="894"/>
      <c r="E18" s="894"/>
      <c r="F18" s="894"/>
      <c r="G18" s="894"/>
      <c r="H18" s="894"/>
      <c r="I18" s="142" t="str">
        <f>TEXT(EDATE(B10,7),"mmmm")</f>
        <v>juillet</v>
      </c>
      <c r="J18" s="607"/>
      <c r="K18" s="19"/>
      <c r="L18" s="19"/>
      <c r="M18" s="19"/>
      <c r="N18" s="19"/>
      <c r="O18" s="19"/>
      <c r="P18" s="19"/>
      <c r="Q18" s="899" t="s">
        <v>243</v>
      </c>
      <c r="R18" s="162" t="s">
        <v>244</v>
      </c>
      <c r="S18" s="163"/>
      <c r="T18" s="163"/>
      <c r="U18" s="466">
        <f t="shared" ref="U18:V18" si="2">SUM(U19:U41)</f>
        <v>0</v>
      </c>
      <c r="V18" s="176">
        <f t="shared" si="2"/>
        <v>0</v>
      </c>
      <c r="W18" s="176">
        <f>SUM(W19:W41)</f>
        <v>0</v>
      </c>
      <c r="X18" s="176">
        <f t="shared" ref="X18:AA18" si="3">SUM(X19:X41)</f>
        <v>0</v>
      </c>
      <c r="Y18" s="176">
        <f t="shared" si="3"/>
        <v>0</v>
      </c>
      <c r="Z18" s="177">
        <f t="shared" si="3"/>
        <v>0</v>
      </c>
      <c r="AA18" s="177">
        <f t="shared" si="3"/>
        <v>0</v>
      </c>
    </row>
    <row r="19" spans="1:27">
      <c r="A19" s="894"/>
      <c r="B19" s="894"/>
      <c r="C19" s="894"/>
      <c r="D19" s="894"/>
      <c r="E19" s="894"/>
      <c r="F19" s="894"/>
      <c r="G19" s="894"/>
      <c r="H19" s="894"/>
      <c r="I19" s="142" t="str">
        <f>TEXT(EDATE(B10,8),"mmmm")</f>
        <v>août</v>
      </c>
      <c r="J19" s="607"/>
      <c r="K19" s="19"/>
      <c r="L19" s="19"/>
      <c r="M19" s="19"/>
      <c r="N19" s="19"/>
      <c r="O19" s="19"/>
      <c r="P19" s="19"/>
      <c r="Q19" s="899"/>
      <c r="R19" s="164"/>
      <c r="S19" s="165" t="s">
        <v>245</v>
      </c>
      <c r="T19" s="17"/>
      <c r="U19" s="467"/>
      <c r="V19" s="178"/>
      <c r="W19" s="179"/>
      <c r="X19" s="180"/>
      <c r="Y19" s="179"/>
      <c r="Z19" s="181"/>
      <c r="AA19" s="181"/>
    </row>
    <row r="20" spans="1:27">
      <c r="A20" s="19"/>
      <c r="B20" s="147" t="s">
        <v>676</v>
      </c>
      <c r="C20" s="19"/>
      <c r="D20" s="19"/>
      <c r="E20" s="19"/>
      <c r="F20" s="19"/>
      <c r="G20" s="19"/>
      <c r="H20" s="19"/>
      <c r="I20" s="142" t="str">
        <f>TEXT(EDATE(B10,9),"mmmm")</f>
        <v>septembre</v>
      </c>
      <c r="J20" s="607"/>
      <c r="K20" s="19"/>
      <c r="L20" s="19"/>
      <c r="M20" s="19"/>
      <c r="N20" s="19"/>
      <c r="O20" s="19"/>
      <c r="P20" s="19"/>
      <c r="Q20" s="899"/>
      <c r="R20" s="166" t="s">
        <v>246</v>
      </c>
      <c r="S20" s="17"/>
      <c r="T20" s="17"/>
      <c r="U20" s="468"/>
      <c r="V20" s="183">
        <f>U20</f>
        <v>0</v>
      </c>
      <c r="W20" s="183">
        <f t="shared" ref="W20:AA20" si="4">V20</f>
        <v>0</v>
      </c>
      <c r="X20" s="183">
        <f t="shared" si="4"/>
        <v>0</v>
      </c>
      <c r="Y20" s="183">
        <f t="shared" si="4"/>
        <v>0</v>
      </c>
      <c r="Z20" s="183">
        <f t="shared" si="4"/>
        <v>0</v>
      </c>
      <c r="AA20" s="469">
        <f t="shared" si="4"/>
        <v>0</v>
      </c>
    </row>
    <row r="21" spans="1:27">
      <c r="A21" s="19"/>
      <c r="B21" s="627" t="s">
        <v>675</v>
      </c>
      <c r="C21" s="19"/>
      <c r="D21" s="19"/>
      <c r="E21" s="19"/>
      <c r="F21" s="19"/>
      <c r="G21" s="19"/>
      <c r="H21" s="19"/>
      <c r="I21" s="142" t="str">
        <f>TEXT(EDATE(B10,10),"mmmm")</f>
        <v>octobre</v>
      </c>
      <c r="J21" s="607"/>
      <c r="K21" s="19"/>
      <c r="L21" s="19"/>
      <c r="M21" s="19"/>
      <c r="N21" s="19"/>
      <c r="O21" s="19"/>
      <c r="P21" s="19"/>
      <c r="Q21" s="899"/>
      <c r="R21" s="166" t="s">
        <v>277</v>
      </c>
      <c r="S21" s="17"/>
      <c r="T21" s="17"/>
      <c r="U21" s="468"/>
      <c r="V21" s="183">
        <f>U21</f>
        <v>0</v>
      </c>
      <c r="W21" s="183">
        <f t="shared" ref="W21:AA21" si="5">V21</f>
        <v>0</v>
      </c>
      <c r="X21" s="183">
        <f t="shared" si="5"/>
        <v>0</v>
      </c>
      <c r="Y21" s="183">
        <f t="shared" si="5"/>
        <v>0</v>
      </c>
      <c r="Z21" s="183">
        <f t="shared" si="5"/>
        <v>0</v>
      </c>
      <c r="AA21" s="469">
        <f t="shared" si="5"/>
        <v>0</v>
      </c>
    </row>
    <row r="22" spans="1:27" ht="15.75" thickBot="1">
      <c r="A22" s="572"/>
      <c r="B22" s="19"/>
      <c r="C22" s="17"/>
      <c r="D22" s="17"/>
      <c r="E22" s="17"/>
      <c r="F22" s="19"/>
      <c r="G22" s="17"/>
      <c r="H22" s="19"/>
      <c r="I22" s="142" t="str">
        <f>TEXT(EDATE(B10,11),"mmmm")</f>
        <v>novembre</v>
      </c>
      <c r="J22" s="607"/>
      <c r="K22" s="19"/>
      <c r="L22" s="19"/>
      <c r="M22" s="19"/>
      <c r="N22" s="19"/>
      <c r="O22" s="19"/>
      <c r="P22" s="19"/>
      <c r="Q22" s="899"/>
      <c r="R22" s="166" t="s">
        <v>247</v>
      </c>
      <c r="S22" s="17"/>
      <c r="T22" s="17"/>
      <c r="U22" s="468"/>
      <c r="V22" s="183">
        <f>U22</f>
        <v>0</v>
      </c>
      <c r="W22" s="183">
        <f t="shared" ref="W22:AA22" si="6">V22</f>
        <v>0</v>
      </c>
      <c r="X22" s="183">
        <f t="shared" si="6"/>
        <v>0</v>
      </c>
      <c r="Y22" s="183">
        <f t="shared" si="6"/>
        <v>0</v>
      </c>
      <c r="Z22" s="183">
        <f t="shared" si="6"/>
        <v>0</v>
      </c>
      <c r="AA22" s="469">
        <f t="shared" si="6"/>
        <v>0</v>
      </c>
    </row>
    <row r="23" spans="1:27">
      <c r="A23" s="895" t="s">
        <v>220</v>
      </c>
      <c r="B23" s="896"/>
      <c r="C23" s="690"/>
      <c r="D23" s="691"/>
      <c r="E23" s="691"/>
      <c r="F23" s="692"/>
      <c r="G23" s="693"/>
      <c r="H23" s="595" t="s">
        <v>224</v>
      </c>
      <c r="I23" s="143"/>
      <c r="J23" s="19"/>
      <c r="K23" s="19"/>
      <c r="L23" s="19"/>
      <c r="M23" s="19"/>
      <c r="N23" s="19"/>
      <c r="O23" s="19"/>
      <c r="P23" s="19"/>
      <c r="Q23" s="899"/>
      <c r="R23" s="166" t="s">
        <v>241</v>
      </c>
      <c r="S23" s="17"/>
      <c r="T23" s="17"/>
      <c r="U23" s="468"/>
      <c r="V23" s="183">
        <f>U23</f>
        <v>0</v>
      </c>
      <c r="W23" s="183">
        <f t="shared" ref="W23:AA23" si="7">V23</f>
        <v>0</v>
      </c>
      <c r="X23" s="183">
        <f t="shared" si="7"/>
        <v>0</v>
      </c>
      <c r="Y23" s="183">
        <f t="shared" si="7"/>
        <v>0</v>
      </c>
      <c r="Z23" s="183">
        <f t="shared" si="7"/>
        <v>0</v>
      </c>
      <c r="AA23" s="469">
        <f t="shared" si="7"/>
        <v>0</v>
      </c>
    </row>
    <row r="24" spans="1:27">
      <c r="A24" s="149" t="s">
        <v>225</v>
      </c>
      <c r="B24" s="671">
        <v>0</v>
      </c>
      <c r="C24" s="683"/>
      <c r="D24" s="607"/>
      <c r="E24" s="684"/>
      <c r="F24" s="607"/>
      <c r="G24" s="694"/>
      <c r="H24" s="334">
        <f>SUM(C24:G24)</f>
        <v>0</v>
      </c>
      <c r="I24" s="17" t="s">
        <v>213</v>
      </c>
      <c r="J24" s="17"/>
      <c r="K24" s="17"/>
      <c r="L24" s="17"/>
      <c r="M24" s="17"/>
      <c r="N24" s="19"/>
      <c r="O24" s="19"/>
      <c r="P24" s="19"/>
      <c r="Q24" s="899"/>
      <c r="R24" s="166" t="s">
        <v>248</v>
      </c>
      <c r="S24" s="17"/>
      <c r="T24" s="17"/>
      <c r="U24" s="468"/>
      <c r="V24" s="183">
        <f t="shared" ref="V24:AA26" si="8">U24</f>
        <v>0</v>
      </c>
      <c r="W24" s="183">
        <f t="shared" si="8"/>
        <v>0</v>
      </c>
      <c r="X24" s="183">
        <f t="shared" si="8"/>
        <v>0</v>
      </c>
      <c r="Y24" s="183">
        <f t="shared" si="8"/>
        <v>0</v>
      </c>
      <c r="Z24" s="183">
        <f t="shared" si="8"/>
        <v>0</v>
      </c>
      <c r="AA24" s="469">
        <f t="shared" si="8"/>
        <v>0</v>
      </c>
    </row>
    <row r="25" spans="1:27" ht="15.75" thickBot="1">
      <c r="A25" s="149" t="s">
        <v>678</v>
      </c>
      <c r="B25" s="672"/>
      <c r="C25" s="695"/>
      <c r="D25" s="673"/>
      <c r="E25" s="673"/>
      <c r="F25" s="673"/>
      <c r="G25" s="674"/>
      <c r="H25" s="688"/>
      <c r="I25" s="19"/>
      <c r="J25" s="594" t="s">
        <v>212</v>
      </c>
      <c r="K25" s="594" t="str">
        <f>IF(B14="non","Année 2",IF(E15&gt;12,"Année 2",""))</f>
        <v/>
      </c>
      <c r="L25" s="594" t="str">
        <f>IF(B14="non","Année 3",IF(E15&gt;24,"Année 3",""))</f>
        <v/>
      </c>
      <c r="M25" s="594" t="str">
        <f>IF(B14="non","Année 4",IF(E15&gt;36,"Année 4",""))</f>
        <v/>
      </c>
      <c r="N25" s="594" t="str">
        <f>IF(B14="non","Année 5",IF(E15&gt;48,"Année 5",""))</f>
        <v/>
      </c>
      <c r="O25" s="114" t="str">
        <f>IF(B14="non","Année 6",IF(E15&gt;60,"Année 6",""))</f>
        <v/>
      </c>
      <c r="P25" s="592" t="str">
        <f>IF(B14="non","Année 7",IF(E15&gt;72,"Année 7",""))</f>
        <v/>
      </c>
      <c r="Q25" s="899"/>
      <c r="R25" s="166" t="s">
        <v>249</v>
      </c>
      <c r="S25" s="17"/>
      <c r="T25" s="17"/>
      <c r="U25" s="468"/>
      <c r="V25" s="183">
        <f t="shared" si="8"/>
        <v>0</v>
      </c>
      <c r="W25" s="183">
        <f t="shared" si="8"/>
        <v>0</v>
      </c>
      <c r="X25" s="183">
        <f t="shared" si="8"/>
        <v>0</v>
      </c>
      <c r="Y25" s="183">
        <f t="shared" si="8"/>
        <v>0</v>
      </c>
      <c r="Z25" s="183">
        <f t="shared" si="8"/>
        <v>0</v>
      </c>
      <c r="AA25" s="469">
        <f t="shared" si="8"/>
        <v>0</v>
      </c>
    </row>
    <row r="26" spans="1:27" ht="15.75" thickBot="1">
      <c r="A26" s="19"/>
      <c r="B26" s="151">
        <f>B23</f>
        <v>0</v>
      </c>
      <c r="C26" s="151">
        <f>C23</f>
        <v>0</v>
      </c>
      <c r="D26" s="151">
        <f t="shared" ref="D26:G26" si="9">D23</f>
        <v>0</v>
      </c>
      <c r="E26" s="689">
        <f t="shared" si="9"/>
        <v>0</v>
      </c>
      <c r="F26" s="151">
        <f t="shared" si="9"/>
        <v>0</v>
      </c>
      <c r="G26" s="689">
        <f t="shared" si="9"/>
        <v>0</v>
      </c>
      <c r="H26" s="19"/>
      <c r="I26" s="19"/>
      <c r="J26" s="526" t="s">
        <v>214</v>
      </c>
      <c r="K26" s="526" t="str">
        <f>IF(ISBLANK(E15),"12 mois",IF(E15&gt;=24,"12 mois",IF(E15&lt;=12,"",E15-12&amp;" mois")))</f>
        <v>12 mois</v>
      </c>
      <c r="L26" s="526" t="str">
        <f>IF(ISBLANK(E15),"12 mois",IF(E15&gt;=36,"12 mois",IF(E15&lt;=24,"",E15-24&amp;" mois")))</f>
        <v>12 mois</v>
      </c>
      <c r="M26" s="526" t="str">
        <f>IF(ISBLANK(E15),"12 mois",IF(E15&gt;=48,"12 mois",IF(E15&lt;=36,"",E15-36&amp;" mois")))</f>
        <v>12 mois</v>
      </c>
      <c r="N26" s="526" t="str">
        <f>IF(ISBLANK(E15),"12 mois",IF(E15&gt;=60,"12 mois",IF(E15&lt;=48,"",E15-48&amp;" mois")))</f>
        <v>12 mois</v>
      </c>
      <c r="O26" s="526" t="str">
        <f>IF(ISBLANK(E15),"12 mois",IF(E15&gt;=72,"12 mois",IF(E15&lt;=60,"",E15-60&amp;" mois")))</f>
        <v>12 mois</v>
      </c>
      <c r="P26" s="593" t="str">
        <f>IF(ISBLANK(E15),"12 mois",IF(E15&gt;=84,"12 mois",IF(E15&lt;=72,"",E15-72&amp;" mois")))</f>
        <v>12 mois</v>
      </c>
      <c r="Q26" s="899"/>
      <c r="R26" s="166" t="s">
        <v>250</v>
      </c>
      <c r="S26" s="901"/>
      <c r="T26" s="901"/>
      <c r="U26" s="468"/>
      <c r="V26" s="183">
        <f t="shared" si="8"/>
        <v>0</v>
      </c>
      <c r="W26" s="183">
        <f t="shared" si="8"/>
        <v>0</v>
      </c>
      <c r="X26" s="183">
        <f t="shared" si="8"/>
        <v>0</v>
      </c>
      <c r="Y26" s="183">
        <f t="shared" si="8"/>
        <v>0</v>
      </c>
      <c r="Z26" s="183">
        <f t="shared" si="8"/>
        <v>0</v>
      </c>
      <c r="AA26" s="469">
        <f t="shared" si="8"/>
        <v>0</v>
      </c>
    </row>
    <row r="27" spans="1:27" ht="15" customHeight="1" thickBot="1">
      <c r="A27" s="19"/>
      <c r="B27" s="19"/>
      <c r="C27" s="19"/>
      <c r="D27" s="19"/>
      <c r="E27" s="19"/>
      <c r="F27" s="19"/>
      <c r="G27" s="19"/>
      <c r="H27" s="19"/>
      <c r="I27" s="20" t="s">
        <v>215</v>
      </c>
      <c r="J27" s="676"/>
      <c r="K27" s="677"/>
      <c r="L27" s="677"/>
      <c r="M27" s="677"/>
      <c r="N27" s="677"/>
      <c r="O27" s="677"/>
      <c r="P27" s="678"/>
      <c r="Q27" s="900"/>
      <c r="R27" s="164"/>
      <c r="S27" s="165" t="s">
        <v>251</v>
      </c>
      <c r="T27" s="17"/>
      <c r="U27" s="470"/>
      <c r="V27" s="184"/>
      <c r="W27" s="185"/>
      <c r="X27" s="186"/>
      <c r="Y27" s="185"/>
      <c r="Z27" s="187"/>
      <c r="AA27" s="187"/>
    </row>
    <row r="28" spans="1:27">
      <c r="A28" s="892" t="s">
        <v>227</v>
      </c>
      <c r="B28" s="892"/>
      <c r="C28" s="892"/>
      <c r="D28" s="892"/>
      <c r="E28" s="892"/>
      <c r="F28" s="892"/>
      <c r="G28" s="892"/>
      <c r="H28" s="892"/>
      <c r="I28" s="19"/>
      <c r="J28" s="17"/>
      <c r="K28" s="17"/>
      <c r="L28" s="19"/>
      <c r="M28" s="19"/>
      <c r="N28" s="17"/>
      <c r="O28" s="19"/>
      <c r="P28" s="19"/>
      <c r="Q28" s="899"/>
      <c r="R28" s="166" t="s">
        <v>252</v>
      </c>
      <c r="S28" s="17"/>
      <c r="T28" s="17"/>
      <c r="U28" s="468"/>
      <c r="V28" s="183">
        <f>U28</f>
        <v>0</v>
      </c>
      <c r="W28" s="183">
        <f t="shared" ref="W28:AA28" si="10">V28</f>
        <v>0</v>
      </c>
      <c r="X28" s="183">
        <f t="shared" si="10"/>
        <v>0</v>
      </c>
      <c r="Y28" s="183">
        <f t="shared" si="10"/>
        <v>0</v>
      </c>
      <c r="Z28" s="183">
        <f t="shared" si="10"/>
        <v>0</v>
      </c>
      <c r="AA28" s="469">
        <f t="shared" si="10"/>
        <v>0</v>
      </c>
    </row>
    <row r="29" spans="1:27" ht="15" customHeight="1">
      <c r="A29" s="118"/>
      <c r="B29" s="897" t="s">
        <v>228</v>
      </c>
      <c r="C29" s="897"/>
      <c r="D29" s="118"/>
      <c r="E29" s="118"/>
      <c r="F29" s="118"/>
      <c r="G29" s="118"/>
      <c r="H29" s="19"/>
      <c r="I29" s="892" t="s">
        <v>383</v>
      </c>
      <c r="J29" s="892"/>
      <c r="K29" s="892"/>
      <c r="L29" s="892"/>
      <c r="M29" s="892"/>
      <c r="N29" s="892"/>
      <c r="O29" s="892"/>
      <c r="P29" s="892"/>
      <c r="Q29" s="899"/>
      <c r="R29" s="166" t="s">
        <v>253</v>
      </c>
      <c r="S29" s="17"/>
      <c r="T29" s="17"/>
      <c r="U29" s="902" t="s">
        <v>254</v>
      </c>
      <c r="V29" s="903"/>
      <c r="W29" s="903"/>
      <c r="X29" s="903"/>
      <c r="Y29" s="903"/>
      <c r="Z29" s="903"/>
      <c r="AA29" s="904"/>
    </row>
    <row r="30" spans="1:27">
      <c r="A30" s="19"/>
      <c r="B30" s="19"/>
      <c r="C30" s="19"/>
      <c r="D30" s="19"/>
      <c r="E30" s="19"/>
      <c r="F30" s="19"/>
      <c r="G30" s="19"/>
      <c r="H30" s="19"/>
      <c r="I30" s="892"/>
      <c r="J30" s="892"/>
      <c r="K30" s="892"/>
      <c r="L30" s="892"/>
      <c r="M30" s="892"/>
      <c r="N30" s="892"/>
      <c r="O30" s="892"/>
      <c r="P30" s="892"/>
      <c r="Q30" s="899"/>
      <c r="R30" s="166" t="s">
        <v>255</v>
      </c>
      <c r="S30" s="17"/>
      <c r="T30" s="17"/>
      <c r="U30" s="468"/>
      <c r="V30" s="183">
        <f>U30</f>
        <v>0</v>
      </c>
      <c r="W30" s="183">
        <f t="shared" ref="W30:AA30" si="11">V30</f>
        <v>0</v>
      </c>
      <c r="X30" s="183">
        <f t="shared" si="11"/>
        <v>0</v>
      </c>
      <c r="Y30" s="183">
        <f t="shared" si="11"/>
        <v>0</v>
      </c>
      <c r="Z30" s="183">
        <f t="shared" si="11"/>
        <v>0</v>
      </c>
      <c r="AA30" s="469">
        <f t="shared" si="11"/>
        <v>0</v>
      </c>
    </row>
    <row r="31" spans="1:27">
      <c r="A31" s="145" t="str">
        <f>A23</f>
        <v>Investissement</v>
      </c>
      <c r="B31" s="145"/>
      <c r="C31" s="152" t="str">
        <f t="shared" ref="C31:G31" si="12">IF(ISBLANK(C23),"",C23)</f>
        <v/>
      </c>
      <c r="D31" s="152" t="str">
        <f t="shared" si="12"/>
        <v/>
      </c>
      <c r="E31" s="152" t="str">
        <f t="shared" si="12"/>
        <v/>
      </c>
      <c r="F31" s="152" t="str">
        <f t="shared" si="12"/>
        <v/>
      </c>
      <c r="G31" s="152" t="str">
        <f t="shared" si="12"/>
        <v/>
      </c>
      <c r="H31" s="19"/>
      <c r="I31" s="19"/>
      <c r="J31" s="606"/>
      <c r="K31" s="19"/>
      <c r="L31" s="19"/>
      <c r="M31" s="19"/>
      <c r="N31" s="19"/>
      <c r="O31" s="19"/>
      <c r="P31" s="19"/>
      <c r="Q31" s="899"/>
      <c r="R31" s="166" t="s">
        <v>256</v>
      </c>
      <c r="S31" s="17"/>
      <c r="T31" s="17"/>
      <c r="U31" s="468"/>
      <c r="V31" s="183">
        <f t="shared" ref="V31:AA33" si="13">U31</f>
        <v>0</v>
      </c>
      <c r="W31" s="183">
        <f t="shared" si="13"/>
        <v>0</v>
      </c>
      <c r="X31" s="183">
        <f t="shared" si="13"/>
        <v>0</v>
      </c>
      <c r="Y31" s="183">
        <f t="shared" si="13"/>
        <v>0</v>
      </c>
      <c r="Z31" s="183">
        <f t="shared" si="13"/>
        <v>0</v>
      </c>
      <c r="AA31" s="469">
        <f t="shared" si="13"/>
        <v>0</v>
      </c>
    </row>
    <row r="32" spans="1:27">
      <c r="A32" s="882" t="s">
        <v>229</v>
      </c>
      <c r="B32" s="883"/>
      <c r="C32" s="604"/>
      <c r="D32" s="604"/>
      <c r="E32" s="604"/>
      <c r="F32" s="604"/>
      <c r="G32" s="604"/>
      <c r="H32" s="19"/>
      <c r="I32" s="892" t="str">
        <f>IF(J31="oui","En moyenne, combien de temps pensez-vous garder en stock vos matières premières et/ou marchandises avant de les vendre ?","")</f>
        <v/>
      </c>
      <c r="J32" s="892"/>
      <c r="K32" s="892"/>
      <c r="L32" s="892"/>
      <c r="M32" s="892"/>
      <c r="N32" s="892"/>
      <c r="O32" s="892"/>
      <c r="P32" s="892"/>
      <c r="Q32" s="899"/>
      <c r="R32" s="166" t="s">
        <v>257</v>
      </c>
      <c r="S32" s="17"/>
      <c r="T32" s="17"/>
      <c r="U32" s="468"/>
      <c r="V32" s="183">
        <f t="shared" si="13"/>
        <v>0</v>
      </c>
      <c r="W32" s="183">
        <f t="shared" si="13"/>
        <v>0</v>
      </c>
      <c r="X32" s="183">
        <f t="shared" si="13"/>
        <v>0</v>
      </c>
      <c r="Y32" s="183">
        <f t="shared" si="13"/>
        <v>0</v>
      </c>
      <c r="Z32" s="183">
        <f t="shared" si="13"/>
        <v>0</v>
      </c>
      <c r="AA32" s="469">
        <f t="shared" si="13"/>
        <v>0</v>
      </c>
    </row>
    <row r="33" spans="1:27">
      <c r="A33" s="145" t="s">
        <v>235</v>
      </c>
      <c r="B33" s="145"/>
      <c r="C33" s="605"/>
      <c r="D33" s="605"/>
      <c r="E33" s="605"/>
      <c r="F33" s="605"/>
      <c r="G33" s="605"/>
      <c r="H33" s="19"/>
      <c r="I33" s="892"/>
      <c r="J33" s="892"/>
      <c r="K33" s="892"/>
      <c r="L33" s="892"/>
      <c r="M33" s="892"/>
      <c r="N33" s="892"/>
      <c r="O33" s="892"/>
      <c r="P33" s="892"/>
      <c r="Q33" s="899"/>
      <c r="R33" s="166" t="s">
        <v>258</v>
      </c>
      <c r="S33" s="614"/>
      <c r="T33" s="614"/>
      <c r="U33" s="468"/>
      <c r="V33" s="183">
        <f t="shared" si="13"/>
        <v>0</v>
      </c>
      <c r="W33" s="183">
        <f t="shared" si="13"/>
        <v>0</v>
      </c>
      <c r="X33" s="183">
        <f t="shared" si="13"/>
        <v>0</v>
      </c>
      <c r="Y33" s="183">
        <f t="shared" si="13"/>
        <v>0</v>
      </c>
      <c r="Z33" s="183">
        <f t="shared" si="13"/>
        <v>0</v>
      </c>
      <c r="AA33" s="469">
        <f t="shared" si="13"/>
        <v>0</v>
      </c>
    </row>
    <row r="34" spans="1:27">
      <c r="A34" s="145" t="s">
        <v>230</v>
      </c>
      <c r="B34" s="145"/>
      <c r="C34" s="605"/>
      <c r="D34" s="605"/>
      <c r="E34" s="605"/>
      <c r="F34" s="605"/>
      <c r="G34" s="605"/>
      <c r="H34" s="19"/>
      <c r="I34" s="19"/>
      <c r="J34" s="606"/>
      <c r="K34" s="19" t="str">
        <f>IF(J31="oui","en jours","")</f>
        <v/>
      </c>
      <c r="L34" s="19"/>
      <c r="M34" s="19"/>
      <c r="N34" s="19"/>
      <c r="O34" s="19"/>
      <c r="P34" s="19"/>
      <c r="Q34" s="899"/>
      <c r="R34" s="164"/>
      <c r="S34" s="165" t="s">
        <v>259</v>
      </c>
      <c r="T34" s="17"/>
      <c r="U34" s="470"/>
      <c r="V34" s="905" t="s">
        <v>682</v>
      </c>
      <c r="W34" s="906"/>
      <c r="X34" s="906"/>
      <c r="Y34" s="906"/>
      <c r="Z34" s="906"/>
      <c r="AA34" s="907"/>
    </row>
    <row r="35" spans="1:27">
      <c r="A35" s="145" t="s">
        <v>231</v>
      </c>
      <c r="B35" s="145"/>
      <c r="C35" s="605"/>
      <c r="D35" s="605"/>
      <c r="E35" s="605"/>
      <c r="F35" s="605"/>
      <c r="G35" s="605"/>
      <c r="H35" s="19"/>
      <c r="I35" s="19"/>
      <c r="J35" s="29"/>
      <c r="K35" s="19"/>
      <c r="L35" s="19"/>
      <c r="M35" s="19"/>
      <c r="N35" s="19"/>
      <c r="O35" s="19"/>
      <c r="P35" s="19"/>
      <c r="Q35" s="899"/>
      <c r="R35" s="166" t="s">
        <v>260</v>
      </c>
      <c r="S35" s="17"/>
      <c r="T35" s="17"/>
      <c r="U35" s="468"/>
      <c r="V35" s="183">
        <f>U35</f>
        <v>0</v>
      </c>
      <c r="W35" s="183">
        <f t="shared" ref="W35:AA35" si="14">V35</f>
        <v>0</v>
      </c>
      <c r="X35" s="183">
        <f t="shared" si="14"/>
        <v>0</v>
      </c>
      <c r="Y35" s="183">
        <f t="shared" si="14"/>
        <v>0</v>
      </c>
      <c r="Z35" s="183">
        <f t="shared" si="14"/>
        <v>0</v>
      </c>
      <c r="AA35" s="469">
        <f t="shared" si="14"/>
        <v>0</v>
      </c>
    </row>
    <row r="36" spans="1:27" ht="15" customHeight="1">
      <c r="A36" s="145" t="s">
        <v>232</v>
      </c>
      <c r="B36" s="145"/>
      <c r="C36" s="605"/>
      <c r="D36" s="605"/>
      <c r="E36" s="605"/>
      <c r="F36" s="605"/>
      <c r="G36" s="605"/>
      <c r="H36" s="19"/>
      <c r="I36" s="881" t="s">
        <v>384</v>
      </c>
      <c r="J36" s="881"/>
      <c r="K36" s="881"/>
      <c r="L36" s="881"/>
      <c r="M36" s="881"/>
      <c r="N36" s="881"/>
      <c r="O36" s="881"/>
      <c r="P36" s="881"/>
      <c r="Q36" s="899"/>
      <c r="R36" s="167" t="s">
        <v>261</v>
      </c>
      <c r="S36" s="17"/>
      <c r="T36" s="17"/>
      <c r="U36" s="468"/>
      <c r="V36" s="183">
        <f t="shared" ref="V36:AA41" si="15">U36</f>
        <v>0</v>
      </c>
      <c r="W36" s="183">
        <f t="shared" si="15"/>
        <v>0</v>
      </c>
      <c r="X36" s="183">
        <f t="shared" si="15"/>
        <v>0</v>
      </c>
      <c r="Y36" s="183">
        <f t="shared" si="15"/>
        <v>0</v>
      </c>
      <c r="Z36" s="183">
        <f t="shared" si="15"/>
        <v>0</v>
      </c>
      <c r="AA36" s="469">
        <f t="shared" si="15"/>
        <v>0</v>
      </c>
    </row>
    <row r="37" spans="1:27">
      <c r="A37" s="145" t="s">
        <v>233</v>
      </c>
      <c r="B37" s="145"/>
      <c r="C37" s="605"/>
      <c r="D37" s="605"/>
      <c r="E37" s="605"/>
      <c r="F37" s="605"/>
      <c r="G37" s="605"/>
      <c r="H37" s="19"/>
      <c r="I37" s="881"/>
      <c r="J37" s="881"/>
      <c r="K37" s="881"/>
      <c r="L37" s="881"/>
      <c r="M37" s="881"/>
      <c r="N37" s="881"/>
      <c r="O37" s="881"/>
      <c r="P37" s="881"/>
      <c r="Q37" s="899"/>
      <c r="R37" s="166" t="s">
        <v>223</v>
      </c>
      <c r="S37" s="17"/>
      <c r="T37" s="17"/>
      <c r="U37" s="468"/>
      <c r="V37" s="183">
        <f t="shared" si="15"/>
        <v>0</v>
      </c>
      <c r="W37" s="183">
        <f t="shared" si="15"/>
        <v>0</v>
      </c>
      <c r="X37" s="183">
        <f t="shared" si="15"/>
        <v>0</v>
      </c>
      <c r="Y37" s="183">
        <f t="shared" si="15"/>
        <v>0</v>
      </c>
      <c r="Z37" s="183">
        <f t="shared" si="15"/>
        <v>0</v>
      </c>
      <c r="AA37" s="469">
        <f t="shared" si="15"/>
        <v>0</v>
      </c>
    </row>
    <row r="38" spans="1:27">
      <c r="A38" s="68" t="s">
        <v>234</v>
      </c>
      <c r="B38" s="68"/>
      <c r="C38" s="28"/>
      <c r="D38" s="28"/>
      <c r="E38" s="28"/>
      <c r="F38" s="28"/>
      <c r="G38" s="28"/>
      <c r="H38" s="19"/>
      <c r="I38" s="118"/>
      <c r="J38" s="608"/>
      <c r="K38" s="118"/>
      <c r="L38" s="118"/>
      <c r="M38" s="118"/>
      <c r="N38" s="118"/>
      <c r="O38" s="118"/>
      <c r="P38" s="19"/>
      <c r="Q38" s="899"/>
      <c r="R38" s="166" t="s">
        <v>262</v>
      </c>
      <c r="S38" s="17"/>
      <c r="T38" s="17"/>
      <c r="U38" s="468"/>
      <c r="V38" s="183">
        <f t="shared" si="15"/>
        <v>0</v>
      </c>
      <c r="W38" s="183">
        <f t="shared" si="15"/>
        <v>0</v>
      </c>
      <c r="X38" s="183">
        <f t="shared" si="15"/>
        <v>0</v>
      </c>
      <c r="Y38" s="183">
        <f t="shared" si="15"/>
        <v>0</v>
      </c>
      <c r="Z38" s="183">
        <f t="shared" si="15"/>
        <v>0</v>
      </c>
      <c r="AA38" s="469">
        <f t="shared" si="15"/>
        <v>0</v>
      </c>
    </row>
    <row r="39" spans="1:27">
      <c r="A39" s="19"/>
      <c r="B39" s="19"/>
      <c r="C39" s="19"/>
      <c r="D39" s="19"/>
      <c r="E39" s="19"/>
      <c r="F39" s="19"/>
      <c r="G39" s="19"/>
      <c r="H39" s="19"/>
      <c r="I39" s="881" t="str">
        <f>IF(J38="non","En moyenne, combien de temps vos clients mettront à vous payer ? Si paiement au comptant, notez 0.","")</f>
        <v/>
      </c>
      <c r="J39" s="881"/>
      <c r="K39" s="881"/>
      <c r="L39" s="881"/>
      <c r="M39" s="881"/>
      <c r="N39" s="881"/>
      <c r="O39" s="881"/>
      <c r="P39" s="19"/>
      <c r="Q39" s="899"/>
      <c r="R39" s="166" t="s">
        <v>263</v>
      </c>
      <c r="S39" s="17"/>
      <c r="T39" s="17"/>
      <c r="U39" s="468"/>
      <c r="V39" s="183">
        <f t="shared" si="15"/>
        <v>0</v>
      </c>
      <c r="W39" s="183">
        <f t="shared" si="15"/>
        <v>0</v>
      </c>
      <c r="X39" s="183">
        <f t="shared" si="15"/>
        <v>0</v>
      </c>
      <c r="Y39" s="183">
        <f t="shared" si="15"/>
        <v>0</v>
      </c>
      <c r="Z39" s="183">
        <f t="shared" si="15"/>
        <v>0</v>
      </c>
      <c r="AA39" s="469">
        <f t="shared" si="15"/>
        <v>0</v>
      </c>
    </row>
    <row r="40" spans="1:27">
      <c r="A40" s="19"/>
      <c r="B40" s="585" t="str">
        <f>IF(COUNTA(C41:G41)=0,"",IF(SUM(C41:G41)&gt;2,"Pas plus de 2 crédits-bails !!!",""))</f>
        <v/>
      </c>
      <c r="C40" s="29"/>
      <c r="D40" s="29"/>
      <c r="E40" s="29"/>
      <c r="F40" s="29"/>
      <c r="G40" s="29"/>
      <c r="H40" s="19"/>
      <c r="I40" s="881"/>
      <c r="J40" s="881"/>
      <c r="K40" s="881"/>
      <c r="L40" s="881"/>
      <c r="M40" s="881"/>
      <c r="N40" s="881"/>
      <c r="O40" s="881"/>
      <c r="P40" s="19"/>
      <c r="Q40" s="899"/>
      <c r="R40" s="166" t="s">
        <v>264</v>
      </c>
      <c r="S40" s="17"/>
      <c r="T40" s="17"/>
      <c r="U40" s="468"/>
      <c r="V40" s="183">
        <f t="shared" si="15"/>
        <v>0</v>
      </c>
      <c r="W40" s="183">
        <f t="shared" si="15"/>
        <v>0</v>
      </c>
      <c r="X40" s="183">
        <f t="shared" si="15"/>
        <v>0</v>
      </c>
      <c r="Y40" s="183">
        <f t="shared" si="15"/>
        <v>0</v>
      </c>
      <c r="Z40" s="183">
        <f t="shared" si="15"/>
        <v>0</v>
      </c>
      <c r="AA40" s="469">
        <f t="shared" si="15"/>
        <v>0</v>
      </c>
    </row>
    <row r="41" spans="1:27">
      <c r="A41" s="19"/>
      <c r="C41" s="7">
        <f>COUNTA(C35)</f>
        <v>0</v>
      </c>
      <c r="D41" s="7">
        <f t="shared" ref="D41:G41" si="16">COUNTA(D35)</f>
        <v>0</v>
      </c>
      <c r="E41" s="7">
        <f t="shared" si="16"/>
        <v>0</v>
      </c>
      <c r="F41" s="7">
        <f t="shared" si="16"/>
        <v>0</v>
      </c>
      <c r="G41" s="7">
        <f t="shared" si="16"/>
        <v>0</v>
      </c>
      <c r="H41" s="19"/>
      <c r="I41" s="19"/>
      <c r="J41" s="606"/>
      <c r="K41" s="19" t="str">
        <f>IF(J38="non","enjours","")</f>
        <v/>
      </c>
      <c r="L41" s="19"/>
      <c r="M41" s="19"/>
      <c r="N41" s="19"/>
      <c r="O41" s="19"/>
      <c r="P41" s="19"/>
      <c r="Q41" s="899"/>
      <c r="R41" s="166" t="s">
        <v>258</v>
      </c>
      <c r="S41" s="901"/>
      <c r="T41" s="901"/>
      <c r="U41" s="468"/>
      <c r="V41" s="183">
        <f t="shared" si="15"/>
        <v>0</v>
      </c>
      <c r="W41" s="183">
        <f t="shared" si="15"/>
        <v>0</v>
      </c>
      <c r="X41" s="183">
        <f t="shared" si="15"/>
        <v>0</v>
      </c>
      <c r="Y41" s="183">
        <f t="shared" si="15"/>
        <v>0</v>
      </c>
      <c r="Z41" s="183">
        <f t="shared" si="15"/>
        <v>0</v>
      </c>
      <c r="AA41" s="469">
        <f t="shared" si="15"/>
        <v>0</v>
      </c>
    </row>
    <row r="42" spans="1:27">
      <c r="A42" s="19"/>
      <c r="B42" s="675"/>
      <c r="C42" s="19"/>
      <c r="D42" s="19"/>
      <c r="E42" s="19"/>
      <c r="F42" s="19"/>
      <c r="G42" s="19"/>
      <c r="H42" s="19"/>
      <c r="I42" s="19"/>
      <c r="J42" s="19"/>
      <c r="K42" s="19"/>
      <c r="L42" s="19"/>
      <c r="M42" s="19"/>
      <c r="N42" s="19"/>
      <c r="O42" s="19"/>
      <c r="P42" s="19"/>
      <c r="Q42" s="899"/>
      <c r="R42" s="168" t="s">
        <v>265</v>
      </c>
      <c r="S42" s="169"/>
      <c r="T42" s="169"/>
      <c r="U42" s="471">
        <f t="shared" ref="U42:V42" si="17">SUM(U43:U44)</f>
        <v>0</v>
      </c>
      <c r="V42" s="188">
        <f t="shared" si="17"/>
        <v>0</v>
      </c>
      <c r="W42" s="188">
        <f>SUM(W43:W44)</f>
        <v>0</v>
      </c>
      <c r="X42" s="188">
        <f t="shared" ref="X42:AA42" si="18">SUM(X43:X44)</f>
        <v>0</v>
      </c>
      <c r="Y42" s="188">
        <f t="shared" si="18"/>
        <v>0</v>
      </c>
      <c r="Z42" s="189">
        <f t="shared" si="18"/>
        <v>0</v>
      </c>
      <c r="AA42" s="189">
        <f t="shared" si="18"/>
        <v>0</v>
      </c>
    </row>
    <row r="43" spans="1:27" ht="15" customHeight="1">
      <c r="A43" s="19"/>
      <c r="B43" s="19"/>
      <c r="C43" s="19"/>
      <c r="D43" s="19"/>
      <c r="E43" s="19"/>
      <c r="F43" s="19"/>
      <c r="G43" s="19"/>
      <c r="H43" s="19"/>
      <c r="I43" s="892" t="s">
        <v>385</v>
      </c>
      <c r="J43" s="892"/>
      <c r="K43" s="892"/>
      <c r="L43" s="892"/>
      <c r="M43" s="892"/>
      <c r="N43" s="892"/>
      <c r="O43" s="892"/>
      <c r="P43" s="892"/>
      <c r="Q43" s="899"/>
      <c r="R43" s="166" t="s">
        <v>266</v>
      </c>
      <c r="S43" s="17"/>
      <c r="T43" s="17"/>
      <c r="U43" s="468"/>
      <c r="V43" s="183">
        <f>U43</f>
        <v>0</v>
      </c>
      <c r="W43" s="183">
        <f t="shared" ref="W43:AA43" si="19">V43</f>
        <v>0</v>
      </c>
      <c r="X43" s="183">
        <f t="shared" si="19"/>
        <v>0</v>
      </c>
      <c r="Y43" s="183">
        <f t="shared" si="19"/>
        <v>0</v>
      </c>
      <c r="Z43" s="183">
        <f t="shared" si="19"/>
        <v>0</v>
      </c>
      <c r="AA43" s="469">
        <f t="shared" si="19"/>
        <v>0</v>
      </c>
    </row>
    <row r="44" spans="1:27">
      <c r="A44" s="19"/>
      <c r="B44" s="19"/>
      <c r="C44" s="19"/>
      <c r="D44" s="19"/>
      <c r="E44" s="19"/>
      <c r="F44" s="19"/>
      <c r="G44" s="19"/>
      <c r="H44" s="19"/>
      <c r="I44" s="892"/>
      <c r="J44" s="892"/>
      <c r="K44" s="892"/>
      <c r="L44" s="892"/>
      <c r="M44" s="892"/>
      <c r="N44" s="892"/>
      <c r="O44" s="892"/>
      <c r="P44" s="892"/>
      <c r="Q44" s="899"/>
      <c r="R44" s="166" t="s">
        <v>267</v>
      </c>
      <c r="S44" s="17"/>
      <c r="T44" s="17"/>
      <c r="U44" s="468"/>
      <c r="V44" s="183">
        <f>U44</f>
        <v>0</v>
      </c>
      <c r="W44" s="183">
        <f t="shared" ref="W44:AA44" si="20">V44</f>
        <v>0</v>
      </c>
      <c r="X44" s="183">
        <f t="shared" si="20"/>
        <v>0</v>
      </c>
      <c r="Y44" s="183">
        <f t="shared" si="20"/>
        <v>0</v>
      </c>
      <c r="Z44" s="183">
        <f t="shared" si="20"/>
        <v>0</v>
      </c>
      <c r="AA44" s="469">
        <f t="shared" si="20"/>
        <v>0</v>
      </c>
    </row>
    <row r="45" spans="1:27">
      <c r="A45" s="19"/>
      <c r="B45" s="19"/>
      <c r="C45" s="19"/>
      <c r="D45" s="19"/>
      <c r="E45" s="19"/>
      <c r="F45" s="19"/>
      <c r="G45" s="19"/>
      <c r="H45" s="19"/>
      <c r="I45" s="117"/>
      <c r="J45" s="608"/>
      <c r="K45" s="117"/>
      <c r="L45" s="117"/>
      <c r="M45" s="117"/>
      <c r="N45" s="117"/>
      <c r="O45" s="117"/>
      <c r="P45" s="19"/>
      <c r="Q45" s="899"/>
      <c r="R45" s="168" t="s">
        <v>268</v>
      </c>
      <c r="S45" s="169"/>
      <c r="T45" s="169"/>
      <c r="U45" s="471">
        <f t="shared" ref="U45:X45" si="21">SUM(U46:U49)</f>
        <v>0</v>
      </c>
      <c r="V45" s="188">
        <f t="shared" si="21"/>
        <v>0</v>
      </c>
      <c r="W45" s="188">
        <f t="shared" si="21"/>
        <v>0</v>
      </c>
      <c r="X45" s="188">
        <f t="shared" si="21"/>
        <v>0</v>
      </c>
      <c r="Y45" s="188">
        <f>SUM(Y46:Y49)</f>
        <v>0</v>
      </c>
      <c r="Z45" s="189">
        <f>SUM(Z46:Z49)</f>
        <v>0</v>
      </c>
      <c r="AA45" s="189">
        <f>SUM(AA46:AA49)</f>
        <v>0</v>
      </c>
    </row>
    <row r="46" spans="1:27">
      <c r="A46" s="19"/>
      <c r="B46" s="19"/>
      <c r="C46" s="19"/>
      <c r="D46" s="19"/>
      <c r="E46" s="19"/>
      <c r="F46" s="19"/>
      <c r="G46" s="19"/>
      <c r="H46" s="19"/>
      <c r="I46" s="908" t="str">
        <f>IF(J45="non","En moyenne, combien de temps mettrez-vous à payer vos fournisseurs de matières premières et/ou marchandises ? Si paiement au comptant, notez 0.","")</f>
        <v/>
      </c>
      <c r="J46" s="908"/>
      <c r="K46" s="908"/>
      <c r="L46" s="908"/>
      <c r="M46" s="908"/>
      <c r="N46" s="908"/>
      <c r="O46" s="908"/>
      <c r="P46" s="19"/>
      <c r="Q46" s="899"/>
      <c r="R46" s="166" t="s">
        <v>269</v>
      </c>
      <c r="S46" s="17"/>
      <c r="T46" s="17"/>
      <c r="U46" s="468"/>
      <c r="V46" s="182"/>
      <c r="W46" s="182"/>
      <c r="X46" s="182"/>
      <c r="Y46" s="182"/>
      <c r="Z46" s="182"/>
      <c r="AA46" s="182"/>
    </row>
    <row r="47" spans="1:27">
      <c r="A47" s="19"/>
      <c r="B47" s="19"/>
      <c r="C47" s="19"/>
      <c r="D47" s="19"/>
      <c r="E47" s="19"/>
      <c r="F47" s="19"/>
      <c r="G47" s="19"/>
      <c r="H47" s="19"/>
      <c r="I47" s="908"/>
      <c r="J47" s="908"/>
      <c r="K47" s="908"/>
      <c r="L47" s="908"/>
      <c r="M47" s="908"/>
      <c r="N47" s="908"/>
      <c r="O47" s="908"/>
      <c r="P47" s="19"/>
      <c r="Q47" s="899"/>
      <c r="R47" s="166" t="s">
        <v>270</v>
      </c>
      <c r="S47" s="17"/>
      <c r="T47" s="17"/>
      <c r="U47" s="468"/>
      <c r="V47" s="182">
        <f t="shared" ref="V47:AA49" si="22">U47</f>
        <v>0</v>
      </c>
      <c r="W47" s="182">
        <f t="shared" ref="W46:AA47" si="23">V47</f>
        <v>0</v>
      </c>
      <c r="X47" s="182">
        <f t="shared" si="23"/>
        <v>0</v>
      </c>
      <c r="Y47" s="182">
        <f t="shared" si="23"/>
        <v>0</v>
      </c>
      <c r="Z47" s="182">
        <f t="shared" si="23"/>
        <v>0</v>
      </c>
      <c r="AA47" s="182">
        <f t="shared" si="23"/>
        <v>0</v>
      </c>
    </row>
    <row r="48" spans="1:27">
      <c r="A48" s="19"/>
      <c r="B48" s="19"/>
      <c r="C48" s="19"/>
      <c r="D48" s="19"/>
      <c r="E48" s="19"/>
      <c r="F48" s="19"/>
      <c r="G48" s="19"/>
      <c r="H48" s="19"/>
      <c r="I48" s="42"/>
      <c r="J48" s="609"/>
      <c r="K48" s="908" t="str">
        <f>IF(J45="non","en jours","")</f>
        <v/>
      </c>
      <c r="L48" s="908"/>
      <c r="M48" s="42"/>
      <c r="N48" s="42"/>
      <c r="O48" s="42"/>
      <c r="P48" s="19"/>
      <c r="Q48" s="899"/>
      <c r="R48" s="166" t="s">
        <v>271</v>
      </c>
      <c r="S48" s="17"/>
      <c r="T48" s="17"/>
      <c r="U48" s="468"/>
      <c r="V48" s="182">
        <f t="shared" si="22"/>
        <v>0</v>
      </c>
      <c r="W48" s="182">
        <f t="shared" si="22"/>
        <v>0</v>
      </c>
      <c r="X48" s="182">
        <f t="shared" si="22"/>
        <v>0</v>
      </c>
      <c r="Y48" s="182">
        <f t="shared" si="22"/>
        <v>0</v>
      </c>
      <c r="Z48" s="182">
        <f t="shared" si="22"/>
        <v>0</v>
      </c>
      <c r="AA48" s="182">
        <f t="shared" si="22"/>
        <v>0</v>
      </c>
    </row>
    <row r="49" spans="1:27">
      <c r="A49" s="19"/>
      <c r="B49" s="19"/>
      <c r="C49" s="19"/>
      <c r="D49" s="19"/>
      <c r="E49" s="19"/>
      <c r="F49" s="19"/>
      <c r="G49" s="19"/>
      <c r="H49" s="19"/>
      <c r="Q49" s="899"/>
      <c r="R49" s="170" t="s">
        <v>272</v>
      </c>
      <c r="S49" s="171"/>
      <c r="T49" s="171"/>
      <c r="U49" s="472"/>
      <c r="V49" s="473">
        <f t="shared" si="22"/>
        <v>0</v>
      </c>
      <c r="W49" s="473">
        <f t="shared" si="22"/>
        <v>0</v>
      </c>
      <c r="X49" s="473">
        <f t="shared" si="22"/>
        <v>0</v>
      </c>
      <c r="Y49" s="473">
        <f t="shared" si="22"/>
        <v>0</v>
      </c>
      <c r="Z49" s="473">
        <f t="shared" si="22"/>
        <v>0</v>
      </c>
      <c r="AA49" s="473">
        <f t="shared" si="22"/>
        <v>0</v>
      </c>
    </row>
    <row r="50" spans="1:27">
      <c r="A50" s="19"/>
      <c r="B50" s="19"/>
      <c r="C50" s="19"/>
      <c r="D50" s="19"/>
      <c r="E50" s="19"/>
      <c r="F50" s="19"/>
      <c r="G50" s="19"/>
      <c r="H50" s="19"/>
    </row>
    <row r="51" spans="1:27">
      <c r="A51" s="19"/>
      <c r="B51" s="19"/>
      <c r="C51" s="19"/>
      <c r="D51" s="19"/>
      <c r="E51" s="19"/>
      <c r="F51" s="19"/>
      <c r="G51" s="19"/>
      <c r="H51" s="19"/>
    </row>
    <row r="52" spans="1:27">
      <c r="A52" s="19"/>
      <c r="B52" s="19"/>
      <c r="C52" s="19"/>
      <c r="D52" s="19"/>
      <c r="E52" s="19"/>
      <c r="F52" s="19"/>
      <c r="G52" s="19"/>
      <c r="H52" s="19"/>
    </row>
    <row r="53" spans="1:27">
      <c r="A53" s="19"/>
      <c r="B53" s="19"/>
      <c r="C53" s="19"/>
      <c r="D53" s="19"/>
      <c r="E53" s="19"/>
      <c r="F53" s="19"/>
      <c r="G53" s="19"/>
      <c r="H53" s="19"/>
    </row>
    <row r="54" spans="1:27">
      <c r="A54" s="19"/>
      <c r="B54" s="19"/>
      <c r="C54" s="19"/>
      <c r="D54" s="19"/>
      <c r="E54" s="19"/>
      <c r="F54" s="19"/>
      <c r="G54" s="19"/>
      <c r="H54" s="19"/>
    </row>
    <row r="55" spans="1:27">
      <c r="A55" s="19"/>
      <c r="B55" s="19"/>
      <c r="C55" s="19"/>
      <c r="D55" s="19"/>
      <c r="E55" s="19"/>
      <c r="F55" s="19"/>
      <c r="G55" s="19"/>
      <c r="H55" s="19"/>
    </row>
    <row r="56" spans="1:27">
      <c r="A56" s="19"/>
      <c r="B56" s="19"/>
      <c r="C56" s="19"/>
      <c r="D56" s="19"/>
      <c r="E56" s="19"/>
      <c r="F56" s="19"/>
      <c r="G56" s="19"/>
      <c r="H56" s="19"/>
    </row>
    <row r="57" spans="1:27">
      <c r="A57" s="19"/>
      <c r="B57" s="19"/>
      <c r="C57" s="19"/>
      <c r="D57" s="19"/>
      <c r="E57" s="19"/>
      <c r="F57" s="19"/>
      <c r="G57" s="19"/>
      <c r="H57" s="19"/>
    </row>
    <row r="58" spans="1:27">
      <c r="A58" s="19"/>
      <c r="B58" s="19"/>
      <c r="C58" s="19"/>
      <c r="D58" s="19"/>
      <c r="E58" s="19"/>
      <c r="F58" s="19"/>
      <c r="G58" s="19"/>
      <c r="H58" s="19"/>
    </row>
    <row r="59" spans="1:27">
      <c r="A59" s="19"/>
      <c r="B59" s="19"/>
      <c r="C59" s="19"/>
      <c r="D59" s="19"/>
      <c r="E59" s="19"/>
      <c r="F59" s="19"/>
      <c r="G59" s="19"/>
      <c r="H59" s="19"/>
    </row>
    <row r="60" spans="1:27">
      <c r="A60" s="19"/>
      <c r="B60" s="19"/>
      <c r="C60" s="19"/>
      <c r="D60" s="19"/>
      <c r="E60" s="19"/>
      <c r="F60" s="19"/>
      <c r="G60" s="19"/>
      <c r="H60" s="19"/>
    </row>
    <row r="61" spans="1:27">
      <c r="A61" s="19"/>
      <c r="B61" s="19"/>
      <c r="C61" s="19"/>
      <c r="D61" s="19"/>
      <c r="E61" s="19"/>
      <c r="F61" s="19"/>
      <c r="G61" s="19"/>
      <c r="H61" s="19"/>
    </row>
    <row r="62" spans="1:27">
      <c r="A62" s="19"/>
      <c r="B62" s="19"/>
      <c r="C62" s="19"/>
      <c r="D62" s="19"/>
      <c r="E62" s="19"/>
      <c r="F62" s="19"/>
      <c r="G62" s="19"/>
      <c r="H62" s="19"/>
    </row>
    <row r="63" spans="1:27">
      <c r="A63" s="19"/>
      <c r="B63" s="19"/>
      <c r="C63" s="19"/>
      <c r="D63" s="19"/>
      <c r="E63" s="19"/>
      <c r="F63" s="19"/>
      <c r="G63" s="19"/>
      <c r="H63" s="19"/>
    </row>
    <row r="64" spans="1:27">
      <c r="A64" s="19"/>
      <c r="B64" s="19"/>
      <c r="C64" s="19"/>
      <c r="D64" s="19"/>
      <c r="E64" s="19"/>
      <c r="F64" s="19"/>
      <c r="G64" s="19"/>
      <c r="H64" s="19"/>
    </row>
    <row r="65" spans="1:8">
      <c r="A65" s="19"/>
      <c r="B65" s="19"/>
      <c r="C65" s="19"/>
      <c r="D65" s="19"/>
      <c r="E65" s="19"/>
      <c r="F65" s="19"/>
      <c r="G65" s="19"/>
      <c r="H65" s="19"/>
    </row>
    <row r="66" spans="1:8">
      <c r="A66" s="19"/>
      <c r="B66" s="19"/>
      <c r="C66" s="19"/>
      <c r="D66" s="19"/>
      <c r="E66" s="19"/>
      <c r="F66" s="19"/>
      <c r="G66" s="19"/>
      <c r="H66" s="19"/>
    </row>
    <row r="67" spans="1:8">
      <c r="A67" s="19"/>
      <c r="B67" s="19"/>
      <c r="C67" s="19"/>
      <c r="D67" s="19"/>
      <c r="E67" s="19"/>
      <c r="F67" s="19"/>
      <c r="G67" s="19"/>
      <c r="H67" s="19"/>
    </row>
    <row r="68" spans="1:8">
      <c r="A68" s="19"/>
      <c r="B68" s="19"/>
      <c r="C68" s="19"/>
      <c r="D68" s="19"/>
      <c r="E68" s="19"/>
      <c r="F68" s="19"/>
      <c r="G68" s="19"/>
      <c r="H68" s="19"/>
    </row>
    <row r="69" spans="1:8">
      <c r="A69" s="19"/>
      <c r="B69" s="19"/>
      <c r="C69" s="19"/>
      <c r="D69" s="19"/>
      <c r="E69" s="19"/>
      <c r="F69" s="19"/>
      <c r="G69" s="19"/>
      <c r="H69" s="19"/>
    </row>
    <row r="70" spans="1:8">
      <c r="A70" s="19"/>
      <c r="B70" s="19"/>
      <c r="C70" s="19"/>
      <c r="D70" s="19"/>
      <c r="E70" s="19"/>
      <c r="F70" s="19"/>
      <c r="G70" s="19"/>
      <c r="H70" s="19"/>
    </row>
    <row r="71" spans="1:8">
      <c r="A71" s="19"/>
      <c r="B71" s="19"/>
      <c r="C71" s="19"/>
      <c r="D71" s="19"/>
      <c r="E71" s="19"/>
      <c r="F71" s="19"/>
      <c r="G71" s="19"/>
      <c r="H71" s="19"/>
    </row>
    <row r="72" spans="1:8">
      <c r="A72" s="19"/>
      <c r="B72" s="19"/>
      <c r="C72" s="19"/>
      <c r="D72" s="19"/>
      <c r="E72" s="19"/>
      <c r="F72" s="19"/>
      <c r="G72" s="19"/>
      <c r="H72" s="19"/>
    </row>
    <row r="73" spans="1:8">
      <c r="A73" s="19"/>
      <c r="B73" s="19"/>
      <c r="C73" s="19"/>
      <c r="D73" s="19"/>
      <c r="E73" s="19"/>
      <c r="F73" s="19"/>
      <c r="G73" s="19"/>
      <c r="H73" s="19"/>
    </row>
    <row r="74" spans="1:8">
      <c r="A74" s="19"/>
      <c r="B74" s="19"/>
      <c r="C74" s="19"/>
      <c r="D74" s="19"/>
      <c r="E74" s="19"/>
      <c r="F74" s="19"/>
      <c r="G74" s="19"/>
      <c r="H74" s="19"/>
    </row>
    <row r="75" spans="1:8">
      <c r="A75" s="19"/>
      <c r="B75" s="19"/>
      <c r="C75" s="19"/>
      <c r="D75" s="19"/>
      <c r="E75" s="19"/>
      <c r="F75" s="19"/>
      <c r="G75" s="19"/>
      <c r="H75" s="19"/>
    </row>
    <row r="76" spans="1:8">
      <c r="A76" s="19"/>
      <c r="B76" s="19"/>
      <c r="C76" s="19"/>
      <c r="D76" s="19"/>
      <c r="E76" s="19"/>
      <c r="F76" s="19"/>
      <c r="G76" s="19"/>
      <c r="H76" s="19"/>
    </row>
    <row r="77" spans="1:8">
      <c r="A77" s="19"/>
      <c r="B77" s="19"/>
      <c r="C77" s="19"/>
      <c r="D77" s="19"/>
      <c r="E77" s="19"/>
      <c r="F77" s="19"/>
      <c r="G77" s="19"/>
      <c r="H77" s="19"/>
    </row>
    <row r="78" spans="1:8">
      <c r="A78" s="19"/>
      <c r="B78" s="19"/>
      <c r="C78" s="19"/>
      <c r="D78" s="19"/>
      <c r="E78" s="19"/>
      <c r="F78" s="19"/>
      <c r="G78" s="19"/>
      <c r="H78" s="19"/>
    </row>
    <row r="79" spans="1:8">
      <c r="A79" s="19"/>
      <c r="B79" s="19"/>
      <c r="C79" s="19"/>
      <c r="D79" s="19"/>
      <c r="E79" s="19"/>
      <c r="F79" s="19"/>
      <c r="G79" s="19"/>
      <c r="H79" s="19"/>
    </row>
    <row r="80" spans="1:8">
      <c r="A80" s="19"/>
      <c r="B80" s="19"/>
      <c r="C80" s="19"/>
      <c r="D80" s="19"/>
      <c r="E80" s="19"/>
      <c r="F80" s="19"/>
      <c r="G80" s="19"/>
      <c r="H80" s="19"/>
    </row>
    <row r="81" spans="1:8">
      <c r="A81" s="19"/>
      <c r="B81" s="19"/>
      <c r="C81" s="19"/>
      <c r="D81" s="19"/>
      <c r="E81" s="19"/>
      <c r="F81" s="19"/>
      <c r="G81" s="19"/>
      <c r="H81" s="19"/>
    </row>
    <row r="82" spans="1:8">
      <c r="A82" s="19"/>
      <c r="B82" s="19"/>
      <c r="C82" s="19"/>
      <c r="D82" s="19"/>
      <c r="E82" s="19"/>
      <c r="F82" s="19"/>
      <c r="G82" s="19"/>
      <c r="H82" s="19"/>
    </row>
    <row r="83" spans="1:8">
      <c r="A83" s="19"/>
      <c r="B83" s="19"/>
      <c r="C83" s="19"/>
      <c r="D83" s="19"/>
      <c r="E83" s="19"/>
      <c r="F83" s="19"/>
      <c r="G83" s="19"/>
      <c r="H83" s="19"/>
    </row>
    <row r="84" spans="1:8">
      <c r="A84" s="19"/>
      <c r="B84" s="19"/>
      <c r="C84" s="19"/>
      <c r="D84" s="19"/>
      <c r="E84" s="19"/>
      <c r="F84" s="19"/>
      <c r="G84" s="19"/>
      <c r="H84" s="19"/>
    </row>
    <row r="85" spans="1:8">
      <c r="A85" s="19"/>
      <c r="B85" s="19"/>
      <c r="C85" s="19"/>
      <c r="D85" s="19"/>
      <c r="E85" s="19"/>
      <c r="F85" s="19"/>
      <c r="G85" s="19"/>
      <c r="H85" s="19"/>
    </row>
    <row r="86" spans="1:8">
      <c r="A86" s="19"/>
      <c r="B86" s="19"/>
      <c r="C86" s="19"/>
      <c r="D86" s="19"/>
      <c r="E86" s="19"/>
      <c r="F86" s="19"/>
      <c r="G86" s="19"/>
      <c r="H86" s="19"/>
    </row>
    <row r="87" spans="1:8">
      <c r="A87" s="19"/>
      <c r="B87" s="19"/>
      <c r="C87" s="19"/>
      <c r="D87" s="19"/>
      <c r="E87" s="19"/>
      <c r="F87" s="19"/>
      <c r="G87" s="19"/>
      <c r="H87" s="19"/>
    </row>
    <row r="88" spans="1:8">
      <c r="A88" s="19"/>
      <c r="B88" s="19"/>
      <c r="C88" s="19"/>
      <c r="D88" s="19"/>
      <c r="E88" s="19"/>
      <c r="F88" s="19"/>
      <c r="G88" s="19"/>
      <c r="H88" s="19"/>
    </row>
    <row r="89" spans="1:8">
      <c r="A89" s="19"/>
      <c r="B89" s="19"/>
      <c r="C89" s="19"/>
      <c r="D89" s="19"/>
      <c r="E89" s="19"/>
      <c r="F89" s="19"/>
      <c r="G89" s="19"/>
      <c r="H89" s="19"/>
    </row>
  </sheetData>
  <sheetProtection password="CF95" sheet="1" objects="1" scenarios="1"/>
  <mergeCells count="28">
    <mergeCell ref="I46:O47"/>
    <mergeCell ref="K48:L48"/>
    <mergeCell ref="I29:P30"/>
    <mergeCell ref="I32:P33"/>
    <mergeCell ref="I36:P37"/>
    <mergeCell ref="I43:P44"/>
    <mergeCell ref="Q18:Q49"/>
    <mergeCell ref="S26:T26"/>
    <mergeCell ref="U29:AA29"/>
    <mergeCell ref="S41:T41"/>
    <mergeCell ref="T2:AA4"/>
    <mergeCell ref="V34:AA34"/>
    <mergeCell ref="K2:P4"/>
    <mergeCell ref="I39:O40"/>
    <mergeCell ref="A32:B32"/>
    <mergeCell ref="Q6:AA8"/>
    <mergeCell ref="Q9:AA11"/>
    <mergeCell ref="Q13:Q17"/>
    <mergeCell ref="R13:T13"/>
    <mergeCell ref="R14:T14"/>
    <mergeCell ref="R15:T15"/>
    <mergeCell ref="S17:T17"/>
    <mergeCell ref="A13:H13"/>
    <mergeCell ref="A18:H19"/>
    <mergeCell ref="A23:B23"/>
    <mergeCell ref="A28:H28"/>
    <mergeCell ref="B29:C29"/>
    <mergeCell ref="D2:G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14:formula1>
            <xm:f>BO!$G$3:$G$5</xm:f>
          </x14:formula1>
          <xm:sqref>B14 J31 J45 J38</xm:sqref>
        </x14:dataValidation>
        <x14:dataValidation type="list" showInputMessage="1" showErrorMessage="1">
          <x14:formula1>
            <xm:f>Paramètres!$A$15:$A$37</xm:f>
          </x14:formula1>
          <xm:sqref>C23:G23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233"/>
  <sheetViews>
    <sheetView topLeftCell="A49" zoomScale="120" zoomScaleNormal="120" workbookViewId="0">
      <selection activeCell="F55" sqref="F55"/>
    </sheetView>
  </sheetViews>
  <sheetFormatPr baseColWidth="10" defaultRowHeight="15"/>
  <cols>
    <col min="1" max="1" width="11.28515625" customWidth="1"/>
    <col min="2" max="9" width="9.42578125" customWidth="1"/>
  </cols>
  <sheetData>
    <row r="1" spans="1:10">
      <c r="A1" s="1"/>
      <c r="B1" s="1"/>
      <c r="C1" s="1"/>
      <c r="D1" s="1"/>
      <c r="E1" s="1"/>
      <c r="F1" s="1"/>
      <c r="G1" s="1"/>
      <c r="H1" s="1"/>
      <c r="I1" s="1"/>
    </row>
    <row r="2" spans="1:10" ht="21">
      <c r="A2" s="1"/>
      <c r="B2" s="1"/>
      <c r="C2" s="138"/>
      <c r="D2" s="898" t="s">
        <v>303</v>
      </c>
      <c r="E2" s="898"/>
      <c r="F2" s="898"/>
      <c r="G2" s="898"/>
      <c r="H2" s="2"/>
      <c r="I2" s="2"/>
    </row>
    <row r="3" spans="1:10" ht="21">
      <c r="A3" s="1"/>
      <c r="B3" s="1"/>
      <c r="C3" s="138"/>
      <c r="D3" s="898"/>
      <c r="E3" s="898"/>
      <c r="F3" s="898"/>
      <c r="G3" s="898"/>
      <c r="H3" s="2"/>
      <c r="I3" s="2"/>
    </row>
    <row r="4" spans="1:10" ht="21">
      <c r="C4" s="138"/>
      <c r="D4" s="898"/>
      <c r="E4" s="898"/>
      <c r="F4" s="898"/>
      <c r="G4" s="898"/>
      <c r="H4" s="2"/>
      <c r="I4" s="2"/>
    </row>
    <row r="6" spans="1:10">
      <c r="A6" s="19"/>
      <c r="B6" s="19"/>
      <c r="C6" s="19"/>
      <c r="D6" s="19"/>
      <c r="E6" s="19"/>
      <c r="F6" s="19"/>
      <c r="G6" s="19"/>
      <c r="H6" s="19"/>
      <c r="I6" s="19"/>
      <c r="J6" s="19"/>
    </row>
    <row r="7" spans="1:10">
      <c r="A7" s="19"/>
      <c r="B7" s="19"/>
      <c r="C7" s="19"/>
      <c r="D7" s="19"/>
      <c r="E7" s="19"/>
      <c r="F7" s="19"/>
      <c r="G7" s="19"/>
      <c r="H7" s="19"/>
      <c r="I7" s="19"/>
      <c r="J7" s="19"/>
    </row>
    <row r="8" spans="1:10">
      <c r="A8" s="139" t="s">
        <v>217</v>
      </c>
      <c r="B8" s="19"/>
      <c r="C8" s="19"/>
      <c r="D8" s="19"/>
      <c r="E8" s="19"/>
      <c r="F8" s="19"/>
      <c r="G8" s="19"/>
      <c r="H8" s="19"/>
      <c r="I8" s="19"/>
      <c r="J8" s="19"/>
    </row>
    <row r="9" spans="1:10">
      <c r="A9" s="19"/>
      <c r="B9" s="19"/>
      <c r="C9" s="19"/>
      <c r="D9" s="19"/>
      <c r="E9" s="19"/>
      <c r="F9" s="19"/>
      <c r="G9" s="19"/>
      <c r="H9" s="19"/>
      <c r="I9" s="19"/>
      <c r="J9" s="19"/>
    </row>
    <row r="10" spans="1:10">
      <c r="A10" s="19" t="s">
        <v>683</v>
      </c>
      <c r="B10" s="19"/>
      <c r="C10" s="19"/>
      <c r="D10" s="19"/>
      <c r="E10" s="19"/>
      <c r="F10" s="19"/>
      <c r="G10" s="19"/>
      <c r="H10" s="19"/>
      <c r="I10" s="19"/>
      <c r="J10" s="19"/>
    </row>
    <row r="11" spans="1:10">
      <c r="A11" s="19"/>
      <c r="B11" s="29" t="s">
        <v>304</v>
      </c>
      <c r="C11" s="29"/>
      <c r="D11" s="19"/>
      <c r="E11" s="19"/>
      <c r="F11" s="606"/>
      <c r="G11" s="19"/>
      <c r="H11" s="19"/>
      <c r="I11" s="19"/>
      <c r="J11" s="19"/>
    </row>
    <row r="12" spans="1:10">
      <c r="A12" s="19"/>
      <c r="B12" s="29" t="s">
        <v>305</v>
      </c>
      <c r="C12" s="19"/>
      <c r="D12" s="19"/>
      <c r="F12" s="606"/>
      <c r="G12" s="19"/>
      <c r="H12" s="19"/>
      <c r="I12" s="19"/>
      <c r="J12" s="19"/>
    </row>
    <row r="13" spans="1:10">
      <c r="A13" s="29" t="s">
        <v>496</v>
      </c>
      <c r="B13" s="29"/>
      <c r="C13" s="29"/>
      <c r="D13" s="19"/>
      <c r="E13" s="19"/>
      <c r="F13" s="19"/>
      <c r="G13" s="19"/>
      <c r="H13" s="19"/>
      <c r="I13" s="19"/>
      <c r="J13" s="19"/>
    </row>
    <row r="14" spans="1:10">
      <c r="A14" s="29" t="s">
        <v>497</v>
      </c>
      <c r="B14" s="19"/>
      <c r="C14" s="29"/>
      <c r="D14" s="19"/>
      <c r="E14" s="606"/>
      <c r="G14" s="19"/>
      <c r="H14" s="19"/>
      <c r="I14" s="19"/>
      <c r="J14" s="19"/>
    </row>
    <row r="15" spans="1:10">
      <c r="A15" s="29" t="s">
        <v>306</v>
      </c>
      <c r="B15" s="29"/>
      <c r="C15" s="19"/>
      <c r="D15" s="19"/>
      <c r="E15" s="19"/>
      <c r="F15" s="19"/>
      <c r="H15" s="606"/>
      <c r="I15" s="19"/>
      <c r="J15" s="19"/>
    </row>
    <row r="16" spans="1:10" ht="27" customHeight="1">
      <c r="A16" s="446" t="str">
        <f>IF(H15="oui","Notez les montants par période :","")</f>
        <v/>
      </c>
      <c r="B16" s="446"/>
      <c r="C16" s="447"/>
      <c r="D16" s="19"/>
      <c r="E16" s="19"/>
      <c r="F16" s="19"/>
      <c r="G16" s="29"/>
      <c r="H16" s="19"/>
      <c r="I16" s="19"/>
      <c r="J16" s="19"/>
    </row>
    <row r="17" spans="1:10" ht="45.75" customHeight="1">
      <c r="A17" s="19"/>
      <c r="B17" s="445" t="str">
        <f>BO!F9</f>
        <v>Début du projet en Année 1</v>
      </c>
      <c r="C17" s="445" t="str">
        <f>BO!F10</f>
        <v>Courant Année 1</v>
      </c>
      <c r="D17" s="445" t="str">
        <f>'BO Cout Fin'!N18</f>
        <v>Année 2</v>
      </c>
      <c r="E17" s="445" t="str">
        <f>'BO Cout Fin'!O18</f>
        <v>Année 3</v>
      </c>
      <c r="F17" s="445" t="str">
        <f>'BO Cout Fin'!P18</f>
        <v>Année 4</v>
      </c>
      <c r="G17" s="445" t="str">
        <f>'BO Cout Fin'!Q18</f>
        <v>Année 5</v>
      </c>
      <c r="H17" s="445" t="str">
        <f>'BO Cout Fin'!R18</f>
        <v>Année 6</v>
      </c>
      <c r="I17" s="445" t="str">
        <f>'BO Cout Fin'!S18</f>
        <v>Année 7</v>
      </c>
      <c r="J17" s="19"/>
    </row>
    <row r="18" spans="1:10">
      <c r="A18" s="141" t="str">
        <f>IF(H15="oui","Montant","")</f>
        <v/>
      </c>
      <c r="B18" s="607"/>
      <c r="C18" s="607"/>
      <c r="D18" s="607"/>
      <c r="E18" s="607"/>
      <c r="F18" s="607"/>
      <c r="G18" s="607"/>
      <c r="H18" s="607"/>
      <c r="I18" s="622"/>
      <c r="J18" s="19"/>
    </row>
    <row r="19" spans="1:10">
      <c r="A19" s="17"/>
      <c r="B19" s="28"/>
      <c r="C19" s="28"/>
      <c r="D19" s="28"/>
      <c r="E19" s="28"/>
      <c r="F19" s="28"/>
      <c r="G19" s="28"/>
      <c r="H19" s="28"/>
      <c r="I19" s="19"/>
      <c r="J19" s="19"/>
    </row>
    <row r="20" spans="1:10">
      <c r="A20" s="912" t="str">
        <f>IF(OR(F11="oui",F12="oui",E14="oui"),"Précisez le montant et la période à laquelle ses ressources vont financer le projet :","")</f>
        <v/>
      </c>
      <c r="B20" s="912"/>
      <c r="C20" s="912"/>
      <c r="D20" s="912"/>
      <c r="E20" s="912"/>
      <c r="F20" s="912"/>
      <c r="G20" s="912"/>
      <c r="H20" s="912"/>
      <c r="I20" s="19"/>
      <c r="J20" s="19"/>
    </row>
    <row r="21" spans="1:10">
      <c r="A21" s="19"/>
      <c r="B21" s="115" t="str">
        <f>IF(OR(F11="oui",F12="oui",E14="oui"),"Montant","")</f>
        <v/>
      </c>
      <c r="C21" s="913" t="str">
        <f>IF(OR(F11="oui",F12="oui",E14="oui"),"Période","")</f>
        <v/>
      </c>
      <c r="D21" s="914"/>
      <c r="E21" s="915"/>
      <c r="F21" s="19"/>
      <c r="G21" s="19"/>
      <c r="H21" s="19"/>
      <c r="I21" s="19"/>
      <c r="J21" s="19"/>
    </row>
    <row r="22" spans="1:10">
      <c r="A22" s="141" t="str">
        <f>IF(F$11="oui","Apport 1","")</f>
        <v/>
      </c>
      <c r="B22" s="620"/>
      <c r="C22" s="909"/>
      <c r="D22" s="910"/>
      <c r="E22" s="911"/>
      <c r="F22" s="19"/>
      <c r="G22" s="19"/>
      <c r="H22" s="19"/>
      <c r="I22" s="19"/>
      <c r="J22" s="19"/>
    </row>
    <row r="23" spans="1:10">
      <c r="A23" s="141" t="str">
        <f>IF(F$11="oui","Apport 2","")</f>
        <v/>
      </c>
      <c r="B23" s="620"/>
      <c r="C23" s="909"/>
      <c r="D23" s="910"/>
      <c r="E23" s="911"/>
      <c r="F23" s="19"/>
      <c r="G23" s="19"/>
      <c r="H23" s="19"/>
      <c r="I23" s="19"/>
      <c r="J23" s="19"/>
    </row>
    <row r="24" spans="1:10">
      <c r="A24" s="141" t="str">
        <f>IF(F$11="oui","Apport 3","")</f>
        <v/>
      </c>
      <c r="B24" s="620"/>
      <c r="C24" s="909"/>
      <c r="D24" s="910"/>
      <c r="E24" s="911"/>
      <c r="F24" s="19"/>
      <c r="G24" s="19"/>
      <c r="H24" s="19"/>
      <c r="I24" s="19"/>
      <c r="J24" s="19"/>
    </row>
    <row r="25" spans="1:10">
      <c r="A25" s="141" t="str">
        <f>IF(F$12="oui","Subvention 1","")</f>
        <v/>
      </c>
      <c r="B25" s="620"/>
      <c r="C25" s="909"/>
      <c r="D25" s="910"/>
      <c r="E25" s="911"/>
      <c r="F25" s="19"/>
      <c r="G25" s="19"/>
      <c r="H25" s="19"/>
      <c r="I25" s="19"/>
      <c r="J25" s="19"/>
    </row>
    <row r="26" spans="1:10">
      <c r="A26" s="141" t="str">
        <f>IF(F$12="oui","Subvention 2","")</f>
        <v/>
      </c>
      <c r="B26" s="620"/>
      <c r="C26" s="909"/>
      <c r="D26" s="910"/>
      <c r="E26" s="911"/>
      <c r="F26" s="19"/>
      <c r="G26" s="19"/>
      <c r="H26" s="19"/>
      <c r="I26" s="19"/>
      <c r="J26" s="19"/>
    </row>
    <row r="27" spans="1:10">
      <c r="A27" s="141" t="str">
        <f>IF(F$12="oui","Subvention 3","")</f>
        <v/>
      </c>
      <c r="B27" s="620"/>
      <c r="C27" s="909"/>
      <c r="D27" s="910"/>
      <c r="E27" s="911"/>
      <c r="F27" s="19"/>
      <c r="G27" s="19"/>
      <c r="H27" s="19"/>
      <c r="I27" s="19"/>
      <c r="J27" s="19"/>
    </row>
    <row r="28" spans="1:10">
      <c r="A28" s="141" t="str">
        <f>IF(E$14="oui","Cession 1","")</f>
        <v/>
      </c>
      <c r="B28" s="620"/>
      <c r="C28" s="909"/>
      <c r="D28" s="910"/>
      <c r="E28" s="911"/>
      <c r="F28" s="19"/>
      <c r="G28" s="19"/>
      <c r="H28" s="19"/>
      <c r="I28" s="19"/>
      <c r="J28" s="19"/>
    </row>
    <row r="29" spans="1:10">
      <c r="A29" s="141" t="str">
        <f>IF(E$14="oui","Cession 2","")</f>
        <v/>
      </c>
      <c r="B29" s="620"/>
      <c r="C29" s="909"/>
      <c r="D29" s="910"/>
      <c r="E29" s="911"/>
      <c r="F29" s="19"/>
      <c r="G29" s="19"/>
      <c r="H29" s="19"/>
      <c r="I29" s="19"/>
      <c r="J29" s="19"/>
    </row>
    <row r="30" spans="1:10">
      <c r="A30" s="141" t="str">
        <f>IF(E$14="oui","Cession 3","")</f>
        <v/>
      </c>
      <c r="B30" s="620"/>
      <c r="C30" s="909"/>
      <c r="D30" s="910"/>
      <c r="E30" s="911"/>
      <c r="F30" s="19"/>
      <c r="G30" s="19"/>
      <c r="H30" s="19"/>
      <c r="I30" s="19"/>
      <c r="J30" s="19"/>
    </row>
    <row r="31" spans="1:10">
      <c r="A31" s="19"/>
      <c r="B31" s="29"/>
      <c r="C31" s="19"/>
      <c r="D31" s="19"/>
      <c r="E31" s="19"/>
      <c r="F31" s="19"/>
      <c r="G31" s="19"/>
      <c r="H31" s="19"/>
      <c r="I31" s="19"/>
      <c r="J31" s="19"/>
    </row>
    <row r="32" spans="1:10">
      <c r="A32" s="19"/>
      <c r="B32" s="29"/>
      <c r="C32" s="19"/>
      <c r="D32" s="19"/>
      <c r="E32" s="19"/>
      <c r="F32" s="19"/>
      <c r="G32" s="19"/>
      <c r="H32" s="19"/>
      <c r="I32" s="19"/>
      <c r="J32" s="19"/>
    </row>
    <row r="33" spans="1:10">
      <c r="A33" s="209" t="s">
        <v>307</v>
      </c>
      <c r="B33" s="172"/>
      <c r="C33" s="172"/>
      <c r="D33" s="172"/>
      <c r="E33" s="172"/>
      <c r="F33" s="172"/>
      <c r="G33" s="172"/>
      <c r="H33" s="172"/>
      <c r="I33" s="172"/>
      <c r="J33" s="19"/>
    </row>
    <row r="34" spans="1:10">
      <c r="A34" s="19"/>
      <c r="B34" s="19"/>
      <c r="C34" s="19"/>
      <c r="D34" s="19"/>
      <c r="E34" s="19"/>
      <c r="F34" s="19"/>
      <c r="G34" s="19"/>
      <c r="H34" s="19"/>
      <c r="I34" s="19"/>
      <c r="J34" s="19"/>
    </row>
    <row r="35" spans="1:10" ht="15" customHeight="1">
      <c r="A35" s="892" t="s">
        <v>684</v>
      </c>
      <c r="B35" s="892"/>
      <c r="C35" s="892"/>
      <c r="D35" s="892"/>
      <c r="E35" s="892"/>
      <c r="F35" s="892"/>
      <c r="G35" s="892"/>
      <c r="H35" s="892"/>
      <c r="I35" s="892"/>
      <c r="J35" s="19"/>
    </row>
    <row r="36" spans="1:10">
      <c r="A36" s="892"/>
      <c r="B36" s="892"/>
      <c r="C36" s="892"/>
      <c r="D36" s="892"/>
      <c r="E36" s="892"/>
      <c r="F36" s="892"/>
      <c r="G36" s="892"/>
      <c r="H36" s="892"/>
      <c r="I36" s="892"/>
      <c r="J36" s="19"/>
    </row>
    <row r="37" spans="1:10">
      <c r="A37" s="19"/>
      <c r="B37" s="606"/>
      <c r="C37" s="19" t="s">
        <v>308</v>
      </c>
      <c r="D37" s="918" t="str">
        <f>"En théorie, au vu de l'analyse financière, votre capacité de remboursement maximale est de : "&amp;ROUND(((4*AFin!C103-AFin!C87)*BO!D15)/(1-((1+BO!D15)^(-48))),0)&amp;" € par mois durant 4 ans."</f>
        <v>En théorie, au vu de l'analyse financière, votre capacité de remboursement maximale est de : 0 € par mois durant 4 ans.</v>
      </c>
      <c r="E37" s="918"/>
      <c r="F37" s="918"/>
      <c r="G37" s="918"/>
      <c r="H37" s="918"/>
      <c r="I37" s="918"/>
      <c r="J37" s="19"/>
    </row>
    <row r="38" spans="1:10">
      <c r="A38" s="19"/>
      <c r="B38" s="29"/>
      <c r="C38" s="19"/>
      <c r="D38" s="918"/>
      <c r="E38" s="918"/>
      <c r="F38" s="918"/>
      <c r="G38" s="918"/>
      <c r="H38" s="918"/>
      <c r="I38" s="918"/>
      <c r="J38" s="19"/>
    </row>
    <row r="39" spans="1:10">
      <c r="A39" s="19"/>
      <c r="B39" s="29"/>
      <c r="C39" s="19"/>
      <c r="D39" s="210"/>
      <c r="E39" s="210"/>
      <c r="F39" s="210"/>
      <c r="G39" s="210"/>
      <c r="H39" s="211"/>
      <c r="I39" s="19"/>
      <c r="J39" s="19"/>
    </row>
    <row r="40" spans="1:10">
      <c r="A40" s="212" t="s">
        <v>309</v>
      </c>
      <c r="B40" s="213"/>
      <c r="C40" s="211"/>
      <c r="D40" s="211"/>
      <c r="E40" s="211"/>
      <c r="F40" s="211"/>
      <c r="G40" s="211"/>
      <c r="H40" s="19"/>
      <c r="I40" s="19"/>
      <c r="J40" s="19"/>
    </row>
    <row r="41" spans="1:10">
      <c r="A41" s="19"/>
      <c r="B41" s="214" t="s">
        <v>310</v>
      </c>
      <c r="C41" s="214"/>
      <c r="D41" s="214"/>
      <c r="E41" s="214"/>
      <c r="F41" s="214"/>
      <c r="G41" s="19"/>
      <c r="H41" s="19"/>
      <c r="I41" s="19"/>
      <c r="J41" s="19"/>
    </row>
    <row r="42" spans="1:10">
      <c r="A42" s="19"/>
      <c r="B42" s="19"/>
      <c r="C42" s="621"/>
      <c r="D42" s="19"/>
      <c r="E42" s="19"/>
      <c r="F42" s="19"/>
      <c r="G42" s="19"/>
      <c r="H42" s="19"/>
      <c r="I42" s="19"/>
      <c r="J42" s="19"/>
    </row>
    <row r="43" spans="1:10">
      <c r="A43" s="19"/>
      <c r="B43" s="214" t="s">
        <v>311</v>
      </c>
      <c r="C43" s="19"/>
      <c r="D43" s="19"/>
      <c r="E43" s="19"/>
      <c r="F43" s="19"/>
      <c r="G43" s="19"/>
      <c r="H43" s="19"/>
      <c r="I43" s="19"/>
      <c r="J43" s="19"/>
    </row>
    <row r="44" spans="1:10">
      <c r="A44" s="19"/>
      <c r="B44" s="19"/>
      <c r="C44" s="606"/>
      <c r="D44" s="147" t="s">
        <v>312</v>
      </c>
      <c r="E44" s="19"/>
      <c r="F44" s="19"/>
      <c r="G44" s="19"/>
      <c r="H44" s="19"/>
      <c r="I44" s="19"/>
      <c r="J44" s="19"/>
    </row>
    <row r="45" spans="1:10">
      <c r="A45" s="19"/>
      <c r="B45" s="19"/>
      <c r="C45" s="19"/>
      <c r="D45" s="19"/>
      <c r="E45" s="19"/>
      <c r="F45" s="19"/>
      <c r="G45" s="19"/>
      <c r="H45" s="19"/>
      <c r="I45" s="19"/>
      <c r="J45" s="19"/>
    </row>
    <row r="46" spans="1:10">
      <c r="A46" s="19"/>
      <c r="B46" s="19"/>
      <c r="C46" s="19"/>
      <c r="D46" s="19"/>
      <c r="E46" s="19"/>
      <c r="F46" s="19"/>
      <c r="G46" s="19"/>
      <c r="H46" s="19"/>
      <c r="I46" s="19"/>
      <c r="J46" s="19"/>
    </row>
    <row r="47" spans="1:10">
      <c r="A47" s="209" t="s">
        <v>313</v>
      </c>
      <c r="B47" s="172"/>
      <c r="C47" s="172"/>
      <c r="D47" s="172"/>
      <c r="E47" s="172"/>
      <c r="F47" s="172"/>
      <c r="G47" s="172"/>
      <c r="H47" s="172"/>
      <c r="I47" s="172"/>
      <c r="J47" s="19"/>
    </row>
    <row r="48" spans="1:10">
      <c r="A48" s="19"/>
      <c r="B48" s="29"/>
      <c r="C48" s="19"/>
      <c r="D48" s="19"/>
      <c r="E48" s="19"/>
      <c r="F48" s="19"/>
      <c r="G48" s="19"/>
      <c r="H48" s="19"/>
      <c r="I48" s="19"/>
      <c r="J48" s="19"/>
    </row>
    <row r="49" spans="1:10" ht="15" customHeight="1">
      <c r="A49" s="892" t="s">
        <v>314</v>
      </c>
      <c r="B49" s="892"/>
      <c r="C49" s="892"/>
      <c r="D49" s="892"/>
      <c r="E49" s="892"/>
      <c r="F49" s="892"/>
      <c r="G49" s="892"/>
      <c r="H49" s="892"/>
      <c r="I49" s="892"/>
      <c r="J49" s="19"/>
    </row>
    <row r="50" spans="1:10">
      <c r="A50" s="892"/>
      <c r="B50" s="892"/>
      <c r="C50" s="892"/>
      <c r="D50" s="892"/>
      <c r="E50" s="892"/>
      <c r="F50" s="892"/>
      <c r="G50" s="892"/>
      <c r="H50" s="892"/>
      <c r="I50" s="892"/>
      <c r="J50" s="19"/>
    </row>
    <row r="51" spans="1:10">
      <c r="A51" s="19"/>
      <c r="B51" s="29"/>
      <c r="C51" s="19"/>
      <c r="D51" s="19"/>
      <c r="E51" s="19"/>
      <c r="F51" s="19"/>
      <c r="G51" s="19"/>
      <c r="H51" s="19"/>
      <c r="I51" s="19"/>
      <c r="J51" s="19"/>
    </row>
    <row r="52" spans="1:10">
      <c r="A52" s="19" t="s">
        <v>685</v>
      </c>
      <c r="B52" s="29"/>
      <c r="C52" s="19"/>
      <c r="D52" s="19"/>
      <c r="E52" s="19"/>
      <c r="F52" s="19"/>
      <c r="G52" s="19"/>
      <c r="H52" s="19"/>
      <c r="I52" s="19"/>
      <c r="J52" s="19"/>
    </row>
    <row r="53" spans="1:10">
      <c r="A53" s="19"/>
      <c r="B53" s="29"/>
      <c r="C53" s="19"/>
      <c r="D53" s="19"/>
      <c r="E53" s="919" t="s">
        <v>672</v>
      </c>
      <c r="F53" s="623"/>
      <c r="G53" s="623"/>
      <c r="H53" s="19"/>
      <c r="I53" s="19"/>
      <c r="J53" s="19"/>
    </row>
    <row r="54" spans="1:10" ht="15.75" thickBot="1">
      <c r="A54" s="19"/>
      <c r="B54" s="696" t="s">
        <v>225</v>
      </c>
      <c r="C54" s="697" t="s">
        <v>315</v>
      </c>
      <c r="D54" s="596" t="s">
        <v>557</v>
      </c>
      <c r="E54" s="920"/>
      <c r="F54" s="623"/>
      <c r="G54" s="623"/>
      <c r="H54" s="19"/>
      <c r="I54" s="19"/>
      <c r="J54" s="19"/>
    </row>
    <row r="55" spans="1:10">
      <c r="A55" s="20" t="s">
        <v>316</v>
      </c>
      <c r="B55" s="680"/>
      <c r="C55" s="698"/>
      <c r="D55" s="699"/>
      <c r="E55" s="700"/>
      <c r="F55" s="624"/>
      <c r="G55" s="624"/>
      <c r="H55" s="19"/>
      <c r="I55" s="19"/>
      <c r="J55" s="19"/>
    </row>
    <row r="56" spans="1:10">
      <c r="A56" s="20" t="s">
        <v>317</v>
      </c>
      <c r="B56" s="682"/>
      <c r="C56" s="619"/>
      <c r="D56" s="620"/>
      <c r="E56" s="701"/>
      <c r="F56" s="625"/>
      <c r="G56" s="625"/>
      <c r="H56" s="19"/>
      <c r="I56" s="19"/>
      <c r="J56" s="19"/>
    </row>
    <row r="57" spans="1:10" ht="15.75" thickBot="1">
      <c r="A57" s="20" t="s">
        <v>318</v>
      </c>
      <c r="B57" s="681"/>
      <c r="C57" s="702"/>
      <c r="D57" s="703"/>
      <c r="E57" s="704"/>
      <c r="F57" s="625"/>
      <c r="G57" s="625"/>
      <c r="H57" s="19"/>
      <c r="I57" s="19"/>
      <c r="J57" s="19"/>
    </row>
    <row r="58" spans="1:10" ht="15.75" thickBot="1">
      <c r="A58" s="19"/>
      <c r="B58" s="29"/>
      <c r="C58" s="19"/>
      <c r="D58" s="19"/>
      <c r="E58" s="19"/>
      <c r="F58" s="19"/>
      <c r="G58" s="19"/>
      <c r="H58" s="19"/>
      <c r="I58" s="19"/>
      <c r="J58" s="19"/>
    </row>
    <row r="59" spans="1:10" ht="15.75" thickBot="1">
      <c r="A59" s="29" t="s">
        <v>686</v>
      </c>
      <c r="B59" s="29"/>
      <c r="C59" s="29"/>
      <c r="D59" s="805"/>
      <c r="E59" s="806"/>
      <c r="F59" s="29"/>
      <c r="G59" s="29"/>
      <c r="H59" s="29"/>
      <c r="I59" s="19"/>
      <c r="J59" s="19"/>
    </row>
    <row r="60" spans="1:10">
      <c r="A60" s="29"/>
      <c r="B60" s="29"/>
      <c r="C60" s="29"/>
      <c r="D60" s="29"/>
      <c r="E60" s="29"/>
      <c r="F60" s="29"/>
      <c r="G60" s="29"/>
      <c r="H60" s="29"/>
      <c r="I60" s="19"/>
      <c r="J60" s="19"/>
    </row>
    <row r="61" spans="1:10">
      <c r="A61" s="29"/>
      <c r="B61" s="29"/>
      <c r="C61" s="29"/>
      <c r="D61" s="29"/>
      <c r="E61" s="29"/>
      <c r="F61" s="29"/>
      <c r="G61" s="29"/>
      <c r="H61" s="29"/>
      <c r="I61" s="19"/>
      <c r="J61" s="19"/>
    </row>
    <row r="62" spans="1:10">
      <c r="A62" s="19" t="s">
        <v>687</v>
      </c>
      <c r="B62" s="19"/>
      <c r="C62" s="19"/>
      <c r="D62" s="19"/>
      <c r="E62" s="19"/>
      <c r="G62" s="606"/>
      <c r="H62" s="19" t="s">
        <v>308</v>
      </c>
      <c r="I62" s="19"/>
      <c r="J62" s="19"/>
    </row>
    <row r="63" spans="1:10">
      <c r="A63" s="19"/>
      <c r="B63" s="19"/>
      <c r="C63" s="19"/>
      <c r="D63" s="19"/>
      <c r="E63" s="19"/>
      <c r="F63" s="19"/>
      <c r="G63" s="19"/>
      <c r="H63" s="19"/>
      <c r="I63" s="19"/>
      <c r="J63" s="19"/>
    </row>
    <row r="64" spans="1:10">
      <c r="A64" s="815" t="s">
        <v>319</v>
      </c>
      <c r="B64" s="815"/>
      <c r="C64" s="815"/>
      <c r="D64" s="815"/>
      <c r="E64" s="815" t="s">
        <v>320</v>
      </c>
      <c r="F64" s="815"/>
      <c r="G64" s="815"/>
      <c r="H64" s="815"/>
      <c r="I64" s="19"/>
      <c r="J64" s="19"/>
    </row>
    <row r="65" spans="1:10">
      <c r="A65" s="822" t="s">
        <v>428</v>
      </c>
      <c r="B65" s="822"/>
      <c r="C65" s="801">
        <f>SUMIF('BO Fin'!R11:R15,BO!F9,'BO Fin'!S11:S15)-'BO Cout Fin'!B17</f>
        <v>0</v>
      </c>
      <c r="D65" s="802"/>
      <c r="E65" s="822" t="s">
        <v>670</v>
      </c>
      <c r="F65" s="822"/>
      <c r="G65" s="815">
        <f ca="1">SUMIF(C22:E24,BO!F9,Fin!B22:B24)+SUMIF(C28:E30,BO!F9,Fin!B28:B30)</f>
        <v>0</v>
      </c>
      <c r="H65" s="815"/>
      <c r="I65" s="19"/>
      <c r="J65" s="19"/>
    </row>
    <row r="66" spans="1:10">
      <c r="A66" s="822" t="s">
        <v>321</v>
      </c>
      <c r="B66" s="822"/>
      <c r="C66" s="626">
        <f>IFERROR(IF(ISBLANK(G62),'BO Fin'!C7*'BO Fin'!B12/360,G62),0)</f>
        <v>0</v>
      </c>
      <c r="D66" s="82"/>
      <c r="E66" s="822" t="s">
        <v>322</v>
      </c>
      <c r="F66" s="822"/>
      <c r="G66" s="815">
        <f ca="1">SUMIF(C25:E27,"Début du projet en Année 1",B25:B27)</f>
        <v>0</v>
      </c>
      <c r="H66" s="815"/>
      <c r="I66" s="19"/>
      <c r="J66" s="19"/>
    </row>
    <row r="67" spans="1:10">
      <c r="A67" s="822"/>
      <c r="B67" s="822"/>
      <c r="C67" s="815"/>
      <c r="D67" s="815"/>
      <c r="E67" s="822" t="s">
        <v>323</v>
      </c>
      <c r="F67" s="822"/>
      <c r="G67" s="815">
        <f>B55+B56+B57</f>
        <v>0</v>
      </c>
      <c r="H67" s="815"/>
      <c r="I67" s="19"/>
      <c r="J67" s="19"/>
    </row>
    <row r="68" spans="1:10">
      <c r="A68" s="916" t="s">
        <v>324</v>
      </c>
      <c r="B68" s="916"/>
      <c r="C68" s="917">
        <f>SUM(C65:D67)</f>
        <v>0</v>
      </c>
      <c r="D68" s="917"/>
      <c r="E68" s="916" t="s">
        <v>324</v>
      </c>
      <c r="F68" s="916"/>
      <c r="G68" s="815">
        <f ca="1">SUM(G65:H67)</f>
        <v>0</v>
      </c>
      <c r="H68" s="815"/>
      <c r="I68" s="19"/>
      <c r="J68" s="19"/>
    </row>
    <row r="69" spans="1:10">
      <c r="A69" s="19"/>
      <c r="B69" s="19"/>
      <c r="C69" s="19"/>
      <c r="D69" s="19"/>
      <c r="E69" s="19"/>
      <c r="F69" s="19"/>
      <c r="G69" s="19"/>
      <c r="H69" s="19"/>
      <c r="I69" s="19"/>
      <c r="J69" s="19"/>
    </row>
    <row r="70" spans="1:10">
      <c r="A70" s="618" t="str">
        <f ca="1">IF(C68=G68,"Le plan de financement est équilibré.",IF(C68&gt;G68,"Attention, le montant des prêts n'est pas suffisant pour financer votre projet. Il manque "&amp;ROUND(C68-G68,0)&amp;"€.","Vos ressources sont supérieurs à vos besoins de démarrage de "&amp;ROUND(G68-C68,0)&amp;" €."))</f>
        <v>Le plan de financement est équilibré.</v>
      </c>
      <c r="B70" s="568"/>
      <c r="C70" s="568"/>
      <c r="D70" s="568"/>
      <c r="E70" s="568"/>
      <c r="F70" s="568"/>
      <c r="G70" s="568"/>
      <c r="H70" s="568"/>
      <c r="I70" s="19"/>
      <c r="J70" s="19"/>
    </row>
    <row r="71" spans="1:10">
      <c r="A71" s="19"/>
      <c r="B71" s="19"/>
      <c r="C71" s="19"/>
      <c r="D71" s="19"/>
      <c r="E71" s="19"/>
      <c r="F71" s="19"/>
      <c r="G71" s="19"/>
      <c r="H71" s="19"/>
      <c r="I71" s="19"/>
      <c r="J71" s="19"/>
    </row>
    <row r="72" spans="1:10">
      <c r="A72" s="19"/>
      <c r="B72" s="19"/>
      <c r="C72" s="19"/>
      <c r="D72" s="19"/>
      <c r="E72" s="19"/>
      <c r="F72" s="19"/>
      <c r="G72" s="19"/>
      <c r="H72" s="19"/>
      <c r="I72" s="19"/>
      <c r="J72" s="19"/>
    </row>
    <row r="73" spans="1:10">
      <c r="A73" s="19"/>
      <c r="B73" s="19"/>
      <c r="C73" s="19"/>
      <c r="D73" s="19"/>
      <c r="E73" s="19"/>
      <c r="F73" s="19"/>
      <c r="G73" s="19"/>
      <c r="H73" s="19"/>
      <c r="I73" s="19"/>
      <c r="J73" s="19"/>
    </row>
    <row r="74" spans="1:10">
      <c r="A74" s="19"/>
      <c r="B74" s="19"/>
      <c r="C74" s="19"/>
      <c r="D74" s="19"/>
      <c r="E74" s="19"/>
      <c r="F74" s="19"/>
      <c r="G74" s="19"/>
      <c r="H74" s="19"/>
      <c r="I74" s="19"/>
      <c r="J74" s="19"/>
    </row>
    <row r="75" spans="1:10">
      <c r="A75" s="19"/>
      <c r="B75" s="19"/>
      <c r="C75" s="19"/>
      <c r="D75" s="19"/>
      <c r="E75" s="19"/>
      <c r="F75" s="19"/>
      <c r="G75" s="19"/>
      <c r="H75" s="19"/>
      <c r="I75" s="19"/>
      <c r="J75" s="19"/>
    </row>
    <row r="76" spans="1:10">
      <c r="A76" s="19"/>
      <c r="B76" s="19"/>
      <c r="C76" s="19"/>
      <c r="D76" s="19"/>
      <c r="E76" s="19"/>
      <c r="F76" s="19"/>
      <c r="G76" s="19"/>
      <c r="H76" s="19"/>
      <c r="I76" s="19"/>
      <c r="J76" s="19"/>
    </row>
    <row r="77" spans="1:10">
      <c r="A77" s="19"/>
      <c r="B77" s="19"/>
      <c r="C77" s="19"/>
      <c r="D77" s="19"/>
      <c r="E77" s="19"/>
      <c r="F77" s="19"/>
      <c r="G77" s="19"/>
      <c r="H77" s="19"/>
      <c r="I77" s="19"/>
      <c r="J77" s="19"/>
    </row>
    <row r="78" spans="1:10">
      <c r="A78" s="19"/>
      <c r="B78" s="19"/>
      <c r="C78" s="19"/>
      <c r="D78" s="19"/>
      <c r="E78" s="19"/>
      <c r="F78" s="19"/>
      <c r="G78" s="19"/>
      <c r="H78" s="19"/>
      <c r="I78" s="19"/>
      <c r="J78" s="19"/>
    </row>
    <row r="79" spans="1:10">
      <c r="A79" s="19"/>
      <c r="B79" s="19"/>
      <c r="C79" s="19"/>
      <c r="D79" s="19"/>
      <c r="E79" s="19"/>
      <c r="F79" s="19"/>
      <c r="G79" s="19"/>
      <c r="H79" s="19"/>
      <c r="I79" s="19"/>
      <c r="J79" s="19"/>
    </row>
    <row r="80" spans="1:10">
      <c r="A80" s="19"/>
      <c r="B80" s="19"/>
      <c r="C80" s="19"/>
      <c r="D80" s="19"/>
      <c r="E80" s="19"/>
      <c r="F80" s="19"/>
      <c r="G80" s="19"/>
      <c r="H80" s="19"/>
      <c r="I80" s="19"/>
      <c r="J80" s="19"/>
    </row>
    <row r="81" spans="1:10">
      <c r="A81" s="19"/>
      <c r="B81" s="19"/>
      <c r="C81" s="19"/>
      <c r="D81" s="19"/>
      <c r="E81" s="19"/>
      <c r="F81" s="19"/>
      <c r="G81" s="19"/>
      <c r="H81" s="19"/>
      <c r="I81" s="19"/>
      <c r="J81" s="19"/>
    </row>
    <row r="82" spans="1:10">
      <c r="A82" s="19"/>
      <c r="B82" s="19"/>
      <c r="C82" s="19"/>
      <c r="D82" s="19"/>
      <c r="E82" s="19"/>
      <c r="F82" s="19"/>
      <c r="G82" s="19"/>
      <c r="H82" s="19"/>
      <c r="I82" s="19"/>
      <c r="J82" s="19"/>
    </row>
    <row r="83" spans="1:10">
      <c r="A83" s="19"/>
      <c r="B83" s="19"/>
      <c r="C83" s="19"/>
      <c r="D83" s="19"/>
      <c r="E83" s="19"/>
      <c r="F83" s="19"/>
      <c r="G83" s="19"/>
      <c r="H83" s="19"/>
      <c r="I83" s="19"/>
      <c r="J83" s="19"/>
    </row>
    <row r="84" spans="1:10">
      <c r="A84" s="19"/>
      <c r="B84" s="19"/>
      <c r="C84" s="19"/>
      <c r="D84" s="19"/>
      <c r="E84" s="19"/>
      <c r="F84" s="19"/>
      <c r="G84" s="19"/>
      <c r="H84" s="19"/>
      <c r="I84" s="19"/>
      <c r="J84" s="19"/>
    </row>
    <row r="85" spans="1:10">
      <c r="A85" s="19"/>
      <c r="B85" s="19"/>
      <c r="C85" s="19"/>
      <c r="D85" s="19"/>
      <c r="E85" s="19"/>
      <c r="F85" s="19"/>
      <c r="G85" s="19"/>
      <c r="H85" s="19"/>
      <c r="I85" s="19"/>
      <c r="J85" s="19"/>
    </row>
    <row r="86" spans="1:10">
      <c r="A86" s="19"/>
      <c r="B86" s="19"/>
      <c r="C86" s="19"/>
      <c r="D86" s="19"/>
      <c r="E86" s="19"/>
      <c r="F86" s="19"/>
      <c r="G86" s="19"/>
      <c r="H86" s="19"/>
      <c r="I86" s="19"/>
      <c r="J86" s="19"/>
    </row>
    <row r="87" spans="1:10">
      <c r="A87" s="19"/>
      <c r="B87" s="19"/>
      <c r="C87" s="19"/>
      <c r="D87" s="19"/>
      <c r="E87" s="19"/>
      <c r="F87" s="19"/>
      <c r="G87" s="19"/>
      <c r="H87" s="19"/>
      <c r="I87" s="19"/>
      <c r="J87" s="19"/>
    </row>
    <row r="88" spans="1:10">
      <c r="A88" s="19"/>
      <c r="B88" s="19"/>
      <c r="C88" s="19"/>
      <c r="D88" s="19"/>
      <c r="E88" s="19"/>
      <c r="F88" s="19"/>
      <c r="G88" s="19"/>
      <c r="H88" s="19"/>
      <c r="I88" s="19"/>
      <c r="J88" s="19"/>
    </row>
    <row r="89" spans="1:10">
      <c r="A89" s="19"/>
      <c r="B89" s="19"/>
      <c r="C89" s="19"/>
      <c r="D89" s="19"/>
      <c r="E89" s="19"/>
      <c r="F89" s="19"/>
      <c r="G89" s="19"/>
      <c r="H89" s="19"/>
      <c r="I89" s="19"/>
      <c r="J89" s="19"/>
    </row>
    <row r="90" spans="1:10">
      <c r="A90" s="19"/>
      <c r="B90" s="19"/>
      <c r="C90" s="19"/>
      <c r="D90" s="19"/>
      <c r="E90" s="19"/>
      <c r="F90" s="19"/>
      <c r="G90" s="19"/>
      <c r="H90" s="19"/>
      <c r="I90" s="19"/>
      <c r="J90" s="19"/>
    </row>
    <row r="91" spans="1:10">
      <c r="A91" s="19"/>
      <c r="B91" s="19"/>
      <c r="C91" s="19"/>
      <c r="D91" s="19"/>
      <c r="E91" s="19"/>
      <c r="F91" s="19"/>
      <c r="G91" s="19"/>
      <c r="H91" s="19"/>
      <c r="I91" s="19"/>
      <c r="J91" s="19"/>
    </row>
    <row r="92" spans="1:10">
      <c r="A92" s="19"/>
      <c r="B92" s="19"/>
      <c r="C92" s="19"/>
      <c r="D92" s="19"/>
      <c r="E92" s="19"/>
      <c r="F92" s="19"/>
      <c r="G92" s="19"/>
      <c r="H92" s="19"/>
      <c r="I92" s="19"/>
      <c r="J92" s="19"/>
    </row>
    <row r="93" spans="1:10">
      <c r="A93" s="19"/>
      <c r="B93" s="19"/>
      <c r="C93" s="19"/>
      <c r="D93" s="19"/>
      <c r="E93" s="19"/>
      <c r="F93" s="19"/>
      <c r="G93" s="19"/>
      <c r="H93" s="19"/>
      <c r="I93" s="19"/>
      <c r="J93" s="19"/>
    </row>
    <row r="94" spans="1:10">
      <c r="A94" s="19"/>
      <c r="B94" s="19"/>
      <c r="C94" s="19"/>
      <c r="D94" s="19"/>
      <c r="E94" s="19"/>
      <c r="F94" s="19"/>
      <c r="G94" s="19"/>
      <c r="H94" s="19"/>
      <c r="I94" s="19"/>
      <c r="J94" s="19"/>
    </row>
    <row r="95" spans="1:10">
      <c r="A95" s="19"/>
      <c r="B95" s="19"/>
      <c r="C95" s="19"/>
      <c r="D95" s="19"/>
      <c r="E95" s="19"/>
      <c r="F95" s="19"/>
      <c r="G95" s="19"/>
      <c r="H95" s="19"/>
      <c r="I95" s="19"/>
      <c r="J95" s="19"/>
    </row>
    <row r="96" spans="1:10">
      <c r="A96" s="19"/>
      <c r="B96" s="19"/>
      <c r="C96" s="19"/>
      <c r="D96" s="19"/>
      <c r="E96" s="19"/>
      <c r="F96" s="19"/>
      <c r="G96" s="19"/>
      <c r="H96" s="19"/>
      <c r="I96" s="19"/>
      <c r="J96" s="19"/>
    </row>
    <row r="97" spans="1:10">
      <c r="A97" s="19"/>
      <c r="B97" s="19"/>
      <c r="C97" s="19"/>
      <c r="D97" s="19"/>
      <c r="E97" s="19"/>
      <c r="F97" s="19"/>
      <c r="G97" s="19"/>
      <c r="H97" s="19"/>
      <c r="I97" s="19"/>
      <c r="J97" s="19"/>
    </row>
    <row r="98" spans="1:10">
      <c r="A98" s="19"/>
      <c r="B98" s="19"/>
      <c r="C98" s="19"/>
      <c r="D98" s="19"/>
      <c r="E98" s="19"/>
      <c r="F98" s="19"/>
      <c r="G98" s="19"/>
      <c r="H98" s="19"/>
      <c r="I98" s="19"/>
      <c r="J98" s="19"/>
    </row>
    <row r="99" spans="1:10">
      <c r="A99" s="19"/>
      <c r="B99" s="19"/>
      <c r="C99" s="19"/>
      <c r="D99" s="19"/>
      <c r="E99" s="19"/>
      <c r="F99" s="19"/>
      <c r="G99" s="19"/>
      <c r="H99" s="19"/>
      <c r="I99" s="19"/>
      <c r="J99" s="19"/>
    </row>
    <row r="100" spans="1:10">
      <c r="A100" s="19"/>
      <c r="B100" s="19"/>
      <c r="C100" s="19"/>
      <c r="D100" s="19"/>
      <c r="E100" s="19"/>
      <c r="F100" s="19"/>
      <c r="G100" s="19"/>
      <c r="H100" s="19"/>
      <c r="I100" s="19"/>
      <c r="J100" s="19"/>
    </row>
    <row r="101" spans="1:10">
      <c r="A101" s="19"/>
      <c r="B101" s="19"/>
      <c r="C101" s="19"/>
      <c r="D101" s="19"/>
      <c r="E101" s="19"/>
      <c r="F101" s="19"/>
      <c r="G101" s="19"/>
      <c r="H101" s="19"/>
      <c r="I101" s="19"/>
      <c r="J101" s="19"/>
    </row>
    <row r="102" spans="1:10">
      <c r="A102" s="19"/>
      <c r="B102" s="19"/>
      <c r="C102" s="19"/>
      <c r="D102" s="19"/>
      <c r="E102" s="19"/>
      <c r="F102" s="19"/>
      <c r="G102" s="19"/>
      <c r="H102" s="19"/>
      <c r="I102" s="19"/>
      <c r="J102" s="19"/>
    </row>
    <row r="103" spans="1:10">
      <c r="A103" s="19"/>
      <c r="B103" s="19"/>
      <c r="C103" s="19"/>
      <c r="D103" s="19"/>
      <c r="E103" s="19"/>
      <c r="F103" s="19"/>
      <c r="G103" s="19"/>
      <c r="H103" s="19"/>
      <c r="I103" s="19"/>
      <c r="J103" s="19"/>
    </row>
    <row r="104" spans="1:10">
      <c r="A104" s="19"/>
      <c r="B104" s="19"/>
      <c r="C104" s="19"/>
      <c r="D104" s="19"/>
      <c r="E104" s="19"/>
      <c r="F104" s="19"/>
      <c r="G104" s="19"/>
      <c r="H104" s="19"/>
      <c r="I104" s="19"/>
      <c r="J104" s="19"/>
    </row>
    <row r="105" spans="1:10">
      <c r="A105" s="19"/>
      <c r="B105" s="19"/>
      <c r="C105" s="19"/>
      <c r="D105" s="19"/>
      <c r="E105" s="19"/>
      <c r="F105" s="19"/>
      <c r="G105" s="19"/>
      <c r="H105" s="19"/>
      <c r="I105" s="19"/>
      <c r="J105" s="19"/>
    </row>
    <row r="106" spans="1:10">
      <c r="A106" s="19"/>
      <c r="B106" s="19"/>
      <c r="C106" s="19"/>
      <c r="D106" s="19"/>
      <c r="E106" s="19"/>
      <c r="F106" s="19"/>
      <c r="G106" s="19"/>
      <c r="H106" s="19"/>
      <c r="I106" s="19"/>
      <c r="J106" s="19"/>
    </row>
    <row r="107" spans="1:10">
      <c r="A107" s="19"/>
      <c r="B107" s="19"/>
      <c r="C107" s="19"/>
      <c r="D107" s="19"/>
      <c r="E107" s="19"/>
      <c r="F107" s="19"/>
      <c r="G107" s="19"/>
      <c r="H107" s="19"/>
      <c r="I107" s="19"/>
      <c r="J107" s="19"/>
    </row>
    <row r="108" spans="1:10">
      <c r="A108" s="19"/>
      <c r="B108" s="19"/>
      <c r="C108" s="19"/>
      <c r="D108" s="19"/>
      <c r="E108" s="19"/>
      <c r="F108" s="19"/>
      <c r="G108" s="19"/>
      <c r="H108" s="19"/>
      <c r="I108" s="19"/>
      <c r="J108" s="19"/>
    </row>
    <row r="109" spans="1:10">
      <c r="A109" s="19"/>
      <c r="B109" s="19"/>
      <c r="C109" s="19"/>
      <c r="D109" s="19"/>
      <c r="E109" s="19"/>
      <c r="F109" s="19"/>
      <c r="G109" s="19"/>
      <c r="H109" s="19"/>
      <c r="I109" s="19"/>
      <c r="J109" s="19"/>
    </row>
    <row r="110" spans="1:10">
      <c r="A110" s="19"/>
      <c r="B110" s="19"/>
      <c r="C110" s="19"/>
      <c r="D110" s="19"/>
      <c r="E110" s="19"/>
      <c r="F110" s="19"/>
      <c r="G110" s="19"/>
      <c r="H110" s="19"/>
      <c r="I110" s="19"/>
      <c r="J110" s="19"/>
    </row>
    <row r="111" spans="1:10">
      <c r="A111" s="19"/>
      <c r="B111" s="19"/>
      <c r="C111" s="19"/>
      <c r="D111" s="19"/>
      <c r="E111" s="19"/>
      <c r="F111" s="19"/>
      <c r="G111" s="19"/>
      <c r="H111" s="19"/>
      <c r="I111" s="19"/>
      <c r="J111" s="19"/>
    </row>
    <row r="112" spans="1:10">
      <c r="A112" s="19"/>
      <c r="B112" s="19"/>
      <c r="C112" s="19"/>
      <c r="D112" s="19"/>
      <c r="E112" s="19"/>
      <c r="F112" s="19"/>
      <c r="G112" s="19"/>
      <c r="H112" s="19"/>
      <c r="I112" s="19"/>
      <c r="J112" s="19"/>
    </row>
    <row r="113" spans="1:10">
      <c r="A113" s="19"/>
      <c r="B113" s="19"/>
      <c r="C113" s="19"/>
      <c r="D113" s="19"/>
      <c r="E113" s="19"/>
      <c r="F113" s="19"/>
      <c r="G113" s="19"/>
      <c r="H113" s="19"/>
      <c r="I113" s="19"/>
      <c r="J113" s="19"/>
    </row>
    <row r="114" spans="1:10">
      <c r="A114" s="19"/>
      <c r="B114" s="19"/>
      <c r="C114" s="19"/>
      <c r="D114" s="19"/>
      <c r="E114" s="19"/>
      <c r="F114" s="19"/>
      <c r="G114" s="19"/>
      <c r="H114" s="19"/>
      <c r="I114" s="19"/>
      <c r="J114" s="19"/>
    </row>
    <row r="115" spans="1:10">
      <c r="A115" s="19"/>
      <c r="B115" s="19"/>
      <c r="C115" s="19"/>
      <c r="D115" s="19"/>
      <c r="E115" s="19"/>
      <c r="F115" s="19"/>
      <c r="G115" s="19"/>
      <c r="H115" s="19"/>
      <c r="I115" s="19"/>
      <c r="J115" s="19"/>
    </row>
    <row r="116" spans="1:10">
      <c r="A116" s="19"/>
      <c r="B116" s="19"/>
      <c r="C116" s="19"/>
      <c r="D116" s="19"/>
      <c r="E116" s="19"/>
      <c r="F116" s="19"/>
      <c r="G116" s="19"/>
      <c r="H116" s="19"/>
      <c r="I116" s="19"/>
      <c r="J116" s="19"/>
    </row>
    <row r="117" spans="1:10">
      <c r="A117" s="19"/>
      <c r="B117" s="19"/>
      <c r="C117" s="19"/>
      <c r="D117" s="19"/>
      <c r="E117" s="19"/>
      <c r="F117" s="19"/>
      <c r="G117" s="19"/>
      <c r="H117" s="19"/>
      <c r="I117" s="19"/>
      <c r="J117" s="19"/>
    </row>
    <row r="118" spans="1:10">
      <c r="A118" s="19"/>
      <c r="B118" s="19"/>
      <c r="C118" s="19"/>
      <c r="D118" s="19"/>
      <c r="E118" s="19"/>
      <c r="F118" s="19"/>
      <c r="G118" s="19"/>
      <c r="H118" s="19"/>
      <c r="I118" s="19"/>
      <c r="J118" s="19"/>
    </row>
    <row r="119" spans="1:10">
      <c r="A119" s="19"/>
      <c r="B119" s="19"/>
      <c r="C119" s="19"/>
      <c r="D119" s="19"/>
      <c r="E119" s="19"/>
      <c r="F119" s="19"/>
      <c r="G119" s="19"/>
      <c r="H119" s="19"/>
      <c r="I119" s="19"/>
      <c r="J119" s="19"/>
    </row>
    <row r="120" spans="1:10">
      <c r="A120" s="19"/>
      <c r="B120" s="19"/>
      <c r="C120" s="19"/>
      <c r="D120" s="19"/>
      <c r="E120" s="19"/>
      <c r="F120" s="19"/>
      <c r="G120" s="19"/>
      <c r="H120" s="19"/>
      <c r="I120" s="19"/>
      <c r="J120" s="19"/>
    </row>
    <row r="121" spans="1:10">
      <c r="A121" s="19"/>
      <c r="B121" s="19"/>
      <c r="C121" s="19"/>
      <c r="D121" s="19"/>
      <c r="E121" s="19"/>
      <c r="F121" s="19"/>
      <c r="G121" s="19"/>
      <c r="H121" s="19"/>
      <c r="I121" s="19"/>
      <c r="J121" s="19"/>
    </row>
    <row r="122" spans="1:10">
      <c r="A122" s="19"/>
      <c r="B122" s="19"/>
      <c r="C122" s="19"/>
      <c r="D122" s="19"/>
      <c r="E122" s="19"/>
      <c r="F122" s="19"/>
      <c r="G122" s="19"/>
      <c r="H122" s="19"/>
      <c r="I122" s="19"/>
      <c r="J122" s="19"/>
    </row>
    <row r="123" spans="1:10">
      <c r="A123" s="19"/>
      <c r="B123" s="19"/>
      <c r="C123" s="19"/>
      <c r="D123" s="19"/>
      <c r="E123" s="19"/>
      <c r="F123" s="19"/>
      <c r="G123" s="19"/>
      <c r="H123" s="19"/>
      <c r="I123" s="19"/>
      <c r="J123" s="19"/>
    </row>
    <row r="124" spans="1:10">
      <c r="A124" s="19"/>
      <c r="B124" s="19"/>
      <c r="C124" s="19"/>
      <c r="D124" s="19"/>
      <c r="E124" s="19"/>
      <c r="F124" s="19"/>
      <c r="G124" s="19"/>
      <c r="H124" s="19"/>
      <c r="I124" s="19"/>
      <c r="J124" s="19"/>
    </row>
    <row r="125" spans="1:10">
      <c r="A125" s="19"/>
      <c r="B125" s="19"/>
      <c r="C125" s="19"/>
      <c r="D125" s="19"/>
      <c r="E125" s="19"/>
      <c r="F125" s="19"/>
      <c r="G125" s="19"/>
      <c r="H125" s="19"/>
      <c r="I125" s="19"/>
      <c r="J125" s="19"/>
    </row>
    <row r="126" spans="1:10">
      <c r="A126" s="19"/>
      <c r="B126" s="19"/>
      <c r="C126" s="19"/>
      <c r="D126" s="19"/>
      <c r="E126" s="19"/>
      <c r="F126" s="19"/>
      <c r="G126" s="19"/>
      <c r="H126" s="19"/>
      <c r="I126" s="19"/>
      <c r="J126" s="19"/>
    </row>
    <row r="127" spans="1:10">
      <c r="A127" s="19"/>
      <c r="B127" s="19"/>
      <c r="C127" s="19"/>
      <c r="D127" s="19"/>
      <c r="E127" s="19"/>
      <c r="F127" s="19"/>
      <c r="G127" s="19"/>
      <c r="H127" s="19"/>
      <c r="I127" s="19"/>
      <c r="J127" s="19"/>
    </row>
    <row r="128" spans="1:10">
      <c r="A128" s="19"/>
      <c r="B128" s="19"/>
      <c r="C128" s="19"/>
      <c r="D128" s="19"/>
      <c r="E128" s="19"/>
      <c r="F128" s="19"/>
      <c r="G128" s="19"/>
      <c r="H128" s="19"/>
      <c r="I128" s="19"/>
      <c r="J128" s="19"/>
    </row>
    <row r="129" spans="1:10">
      <c r="A129" s="19"/>
      <c r="B129" s="19"/>
      <c r="C129" s="19"/>
      <c r="D129" s="19"/>
      <c r="E129" s="19"/>
      <c r="F129" s="19"/>
      <c r="G129" s="19"/>
      <c r="H129" s="19"/>
      <c r="I129" s="19"/>
      <c r="J129" s="19"/>
    </row>
    <row r="130" spans="1:10">
      <c r="A130" s="19"/>
      <c r="B130" s="19"/>
      <c r="C130" s="19"/>
      <c r="D130" s="19"/>
      <c r="E130" s="19"/>
      <c r="F130" s="19"/>
      <c r="G130" s="19"/>
      <c r="H130" s="19"/>
      <c r="I130" s="19"/>
      <c r="J130" s="19"/>
    </row>
    <row r="131" spans="1:10">
      <c r="A131" s="19"/>
      <c r="B131" s="19"/>
      <c r="C131" s="19"/>
      <c r="D131" s="19"/>
      <c r="E131" s="19"/>
      <c r="F131" s="19"/>
      <c r="G131" s="19"/>
      <c r="H131" s="19"/>
      <c r="I131" s="19"/>
      <c r="J131" s="19"/>
    </row>
    <row r="132" spans="1:10">
      <c r="A132" s="19"/>
      <c r="B132" s="19"/>
      <c r="C132" s="19"/>
      <c r="D132" s="19"/>
      <c r="E132" s="19"/>
      <c r="F132" s="19"/>
      <c r="G132" s="19"/>
      <c r="H132" s="19"/>
      <c r="I132" s="19"/>
      <c r="J132" s="19"/>
    </row>
    <row r="133" spans="1:10">
      <c r="A133" s="19"/>
      <c r="B133" s="19"/>
      <c r="C133" s="19"/>
      <c r="D133" s="19"/>
      <c r="E133" s="19"/>
      <c r="F133" s="19"/>
      <c r="G133" s="19"/>
      <c r="H133" s="19"/>
      <c r="I133" s="19"/>
      <c r="J133" s="19"/>
    </row>
    <row r="134" spans="1:10">
      <c r="A134" s="19"/>
      <c r="B134" s="19"/>
      <c r="C134" s="19"/>
      <c r="D134" s="19"/>
      <c r="E134" s="19"/>
      <c r="F134" s="19"/>
      <c r="G134" s="19"/>
      <c r="H134" s="19"/>
      <c r="I134" s="19"/>
      <c r="J134" s="19"/>
    </row>
    <row r="135" spans="1:10">
      <c r="A135" s="19"/>
      <c r="B135" s="19"/>
      <c r="C135" s="19"/>
      <c r="D135" s="19"/>
      <c r="E135" s="19"/>
      <c r="F135" s="19"/>
      <c r="G135" s="19"/>
      <c r="H135" s="19"/>
      <c r="I135" s="19"/>
      <c r="J135" s="19"/>
    </row>
    <row r="136" spans="1:10">
      <c r="A136" s="19"/>
      <c r="B136" s="19"/>
      <c r="C136" s="19"/>
      <c r="D136" s="19"/>
      <c r="E136" s="19"/>
      <c r="F136" s="19"/>
      <c r="G136" s="19"/>
      <c r="H136" s="19"/>
      <c r="I136" s="19"/>
      <c r="J136" s="19"/>
    </row>
    <row r="137" spans="1:10">
      <c r="A137" s="19"/>
      <c r="B137" s="19"/>
      <c r="C137" s="19"/>
      <c r="D137" s="19"/>
      <c r="E137" s="19"/>
      <c r="F137" s="19"/>
      <c r="G137" s="19"/>
      <c r="H137" s="19"/>
      <c r="I137" s="19"/>
      <c r="J137" s="19"/>
    </row>
    <row r="138" spans="1:10">
      <c r="A138" s="19"/>
      <c r="B138" s="19"/>
      <c r="C138" s="19"/>
      <c r="D138" s="19"/>
      <c r="E138" s="19"/>
      <c r="F138" s="19"/>
      <c r="G138" s="19"/>
      <c r="H138" s="19"/>
      <c r="I138" s="19"/>
      <c r="J138" s="19"/>
    </row>
    <row r="139" spans="1:10">
      <c r="A139" s="19"/>
      <c r="B139" s="19"/>
      <c r="C139" s="19"/>
      <c r="D139" s="19"/>
      <c r="E139" s="19"/>
      <c r="F139" s="19"/>
      <c r="G139" s="19"/>
      <c r="H139" s="19"/>
      <c r="I139" s="19"/>
      <c r="J139" s="19"/>
    </row>
    <row r="140" spans="1:10">
      <c r="A140" s="19"/>
      <c r="B140" s="19"/>
      <c r="C140" s="19"/>
      <c r="D140" s="19"/>
      <c r="E140" s="19"/>
      <c r="F140" s="19"/>
      <c r="G140" s="19"/>
      <c r="H140" s="19"/>
      <c r="I140" s="19"/>
      <c r="J140" s="19"/>
    </row>
    <row r="141" spans="1:10">
      <c r="A141" s="19"/>
      <c r="B141" s="19"/>
      <c r="C141" s="19"/>
      <c r="D141" s="19"/>
      <c r="E141" s="19"/>
      <c r="F141" s="19"/>
      <c r="G141" s="19"/>
      <c r="H141" s="19"/>
      <c r="I141" s="19"/>
      <c r="J141" s="19"/>
    </row>
    <row r="142" spans="1:10">
      <c r="A142" s="19"/>
      <c r="B142" s="19"/>
      <c r="C142" s="19"/>
      <c r="D142" s="19"/>
      <c r="E142" s="19"/>
      <c r="F142" s="19"/>
      <c r="G142" s="19"/>
      <c r="H142" s="19"/>
      <c r="I142" s="19"/>
      <c r="J142" s="19"/>
    </row>
    <row r="143" spans="1:10">
      <c r="A143" s="19"/>
      <c r="B143" s="19"/>
      <c r="C143" s="19"/>
      <c r="D143" s="19"/>
      <c r="E143" s="19"/>
      <c r="F143" s="19"/>
      <c r="G143" s="19"/>
      <c r="H143" s="19"/>
      <c r="I143" s="19"/>
      <c r="J143" s="19"/>
    </row>
    <row r="144" spans="1:10">
      <c r="A144" s="19"/>
      <c r="B144" s="19"/>
      <c r="C144" s="19"/>
      <c r="D144" s="19"/>
      <c r="E144" s="19"/>
      <c r="F144" s="19"/>
      <c r="G144" s="19"/>
      <c r="H144" s="19"/>
      <c r="I144" s="19"/>
      <c r="J144" s="19"/>
    </row>
    <row r="145" spans="1:10">
      <c r="A145" s="19"/>
      <c r="B145" s="19"/>
      <c r="C145" s="19"/>
      <c r="D145" s="19"/>
      <c r="E145" s="19"/>
      <c r="F145" s="19"/>
      <c r="G145" s="19"/>
      <c r="H145" s="19"/>
      <c r="I145" s="19"/>
      <c r="J145" s="19"/>
    </row>
    <row r="146" spans="1:10">
      <c r="A146" s="19"/>
      <c r="B146" s="19"/>
      <c r="C146" s="19"/>
      <c r="D146" s="19"/>
      <c r="E146" s="19"/>
      <c r="F146" s="19"/>
      <c r="G146" s="19"/>
      <c r="H146" s="19"/>
      <c r="I146" s="19"/>
      <c r="J146" s="19"/>
    </row>
    <row r="147" spans="1:10">
      <c r="A147" s="19"/>
      <c r="B147" s="19"/>
      <c r="C147" s="19"/>
      <c r="D147" s="19"/>
      <c r="E147" s="19"/>
      <c r="F147" s="19"/>
      <c r="G147" s="19"/>
      <c r="H147" s="19"/>
      <c r="I147" s="19"/>
      <c r="J147" s="19"/>
    </row>
    <row r="148" spans="1:10">
      <c r="A148" s="19"/>
      <c r="B148" s="19"/>
      <c r="C148" s="19"/>
      <c r="D148" s="19"/>
      <c r="E148" s="19"/>
      <c r="F148" s="19"/>
      <c r="G148" s="19"/>
      <c r="H148" s="19"/>
      <c r="I148" s="19"/>
      <c r="J148" s="19"/>
    </row>
    <row r="149" spans="1:10">
      <c r="A149" s="19"/>
      <c r="B149" s="19"/>
      <c r="C149" s="19"/>
      <c r="D149" s="19"/>
      <c r="E149" s="19"/>
      <c r="F149" s="19"/>
      <c r="G149" s="19"/>
      <c r="H149" s="19"/>
      <c r="I149" s="19"/>
      <c r="J149" s="19"/>
    </row>
    <row r="150" spans="1:10">
      <c r="A150" s="19"/>
      <c r="B150" s="19"/>
      <c r="C150" s="19"/>
      <c r="D150" s="19"/>
      <c r="E150" s="19"/>
      <c r="F150" s="19"/>
      <c r="G150" s="19"/>
      <c r="H150" s="19"/>
      <c r="I150" s="19"/>
      <c r="J150" s="19"/>
    </row>
    <row r="151" spans="1:10">
      <c r="A151" s="19"/>
      <c r="B151" s="19"/>
      <c r="C151" s="19"/>
      <c r="D151" s="19"/>
      <c r="E151" s="19"/>
      <c r="F151" s="19"/>
      <c r="G151" s="19"/>
      <c r="H151" s="19"/>
      <c r="I151" s="19"/>
      <c r="J151" s="19"/>
    </row>
    <row r="152" spans="1:10">
      <c r="A152" s="19"/>
      <c r="B152" s="19"/>
      <c r="C152" s="19"/>
      <c r="D152" s="19"/>
      <c r="E152" s="19"/>
      <c r="F152" s="19"/>
      <c r="G152" s="19"/>
      <c r="H152" s="19"/>
      <c r="I152" s="19"/>
      <c r="J152" s="19"/>
    </row>
    <row r="153" spans="1:10">
      <c r="A153" s="19"/>
      <c r="B153" s="19"/>
      <c r="C153" s="19"/>
      <c r="D153" s="19"/>
      <c r="E153" s="19"/>
      <c r="F153" s="19"/>
      <c r="G153" s="19"/>
      <c r="H153" s="19"/>
      <c r="I153" s="19"/>
      <c r="J153" s="19"/>
    </row>
    <row r="154" spans="1:10">
      <c r="A154" s="19"/>
      <c r="B154" s="19"/>
      <c r="C154" s="19"/>
      <c r="D154" s="19"/>
      <c r="E154" s="19"/>
      <c r="F154" s="19"/>
      <c r="G154" s="19"/>
      <c r="H154" s="19"/>
      <c r="I154" s="19"/>
      <c r="J154" s="19"/>
    </row>
    <row r="155" spans="1:10">
      <c r="A155" s="19"/>
      <c r="B155" s="19"/>
      <c r="C155" s="19"/>
      <c r="D155" s="19"/>
      <c r="E155" s="19"/>
      <c r="F155" s="19"/>
      <c r="G155" s="19"/>
      <c r="H155" s="19"/>
      <c r="I155" s="19"/>
      <c r="J155" s="19"/>
    </row>
    <row r="156" spans="1:10">
      <c r="A156" s="19"/>
      <c r="B156" s="19"/>
      <c r="C156" s="19"/>
      <c r="D156" s="19"/>
      <c r="E156" s="19"/>
      <c r="F156" s="19"/>
      <c r="G156" s="19"/>
      <c r="H156" s="19"/>
      <c r="I156" s="19"/>
      <c r="J156" s="19"/>
    </row>
    <row r="157" spans="1:10">
      <c r="A157" s="19"/>
      <c r="B157" s="19"/>
      <c r="C157" s="19"/>
      <c r="D157" s="19"/>
      <c r="E157" s="19"/>
      <c r="F157" s="19"/>
      <c r="G157" s="19"/>
      <c r="H157" s="19"/>
      <c r="I157" s="19"/>
      <c r="J157" s="19"/>
    </row>
    <row r="158" spans="1:10">
      <c r="A158" s="19"/>
      <c r="B158" s="19"/>
      <c r="C158" s="19"/>
      <c r="D158" s="19"/>
      <c r="E158" s="19"/>
      <c r="F158" s="19"/>
      <c r="G158" s="19"/>
      <c r="H158" s="19"/>
      <c r="I158" s="19"/>
      <c r="J158" s="19"/>
    </row>
    <row r="159" spans="1:10">
      <c r="A159" s="19"/>
      <c r="B159" s="19"/>
      <c r="C159" s="19"/>
      <c r="D159" s="19"/>
      <c r="E159" s="19"/>
      <c r="F159" s="19"/>
      <c r="G159" s="19"/>
      <c r="H159" s="19"/>
      <c r="I159" s="19"/>
      <c r="J159" s="19"/>
    </row>
    <row r="160" spans="1:10">
      <c r="A160" s="19"/>
      <c r="B160" s="19"/>
      <c r="C160" s="19"/>
      <c r="D160" s="19"/>
      <c r="E160" s="19"/>
      <c r="F160" s="19"/>
      <c r="G160" s="19"/>
      <c r="H160" s="19"/>
      <c r="I160" s="19"/>
      <c r="J160" s="19"/>
    </row>
    <row r="161" spans="1:10">
      <c r="A161" s="19"/>
      <c r="B161" s="19"/>
      <c r="C161" s="19"/>
      <c r="D161" s="19"/>
      <c r="E161" s="19"/>
      <c r="F161" s="19"/>
      <c r="G161" s="19"/>
      <c r="H161" s="19"/>
      <c r="I161" s="19"/>
      <c r="J161" s="19"/>
    </row>
    <row r="162" spans="1:10">
      <c r="A162" s="19"/>
      <c r="B162" s="19"/>
      <c r="C162" s="19"/>
      <c r="D162" s="19"/>
      <c r="E162" s="19"/>
      <c r="F162" s="19"/>
      <c r="G162" s="19"/>
      <c r="H162" s="19"/>
      <c r="I162" s="19"/>
      <c r="J162" s="19"/>
    </row>
    <row r="163" spans="1:10">
      <c r="A163" s="19"/>
      <c r="B163" s="19"/>
      <c r="C163" s="19"/>
      <c r="D163" s="19"/>
      <c r="E163" s="19"/>
      <c r="F163" s="19"/>
      <c r="G163" s="19"/>
      <c r="H163" s="19"/>
      <c r="I163" s="19"/>
      <c r="J163" s="19"/>
    </row>
    <row r="164" spans="1:10">
      <c r="A164" s="19"/>
      <c r="B164" s="19"/>
      <c r="C164" s="19"/>
      <c r="D164" s="19"/>
      <c r="E164" s="19"/>
      <c r="F164" s="19"/>
      <c r="G164" s="19"/>
      <c r="H164" s="19"/>
      <c r="I164" s="19"/>
      <c r="J164" s="19"/>
    </row>
    <row r="165" spans="1:10">
      <c r="A165" s="19"/>
      <c r="B165" s="19"/>
      <c r="C165" s="19"/>
      <c r="D165" s="19"/>
      <c r="E165" s="19"/>
      <c r="F165" s="19"/>
      <c r="G165" s="19"/>
      <c r="H165" s="19"/>
      <c r="I165" s="19"/>
      <c r="J165" s="19"/>
    </row>
    <row r="166" spans="1:10">
      <c r="A166" s="19"/>
      <c r="B166" s="19"/>
      <c r="C166" s="19"/>
      <c r="D166" s="19"/>
      <c r="E166" s="19"/>
      <c r="F166" s="19"/>
      <c r="G166" s="19"/>
      <c r="H166" s="19"/>
      <c r="I166" s="19"/>
      <c r="J166" s="19"/>
    </row>
    <row r="167" spans="1:10">
      <c r="A167" s="19"/>
      <c r="B167" s="19"/>
      <c r="C167" s="19"/>
      <c r="D167" s="19"/>
      <c r="E167" s="19"/>
      <c r="F167" s="19"/>
      <c r="G167" s="19"/>
      <c r="H167" s="19"/>
      <c r="I167" s="19"/>
      <c r="J167" s="19"/>
    </row>
    <row r="168" spans="1:10">
      <c r="A168" s="19"/>
      <c r="B168" s="19"/>
      <c r="C168" s="19"/>
      <c r="D168" s="19"/>
      <c r="E168" s="19"/>
      <c r="F168" s="19"/>
      <c r="G168" s="19"/>
      <c r="H168" s="19"/>
      <c r="I168" s="19"/>
      <c r="J168" s="19"/>
    </row>
    <row r="169" spans="1:10">
      <c r="A169" s="19"/>
      <c r="B169" s="19"/>
      <c r="C169" s="19"/>
      <c r="D169" s="19"/>
      <c r="E169" s="19"/>
      <c r="F169" s="19"/>
      <c r="G169" s="19"/>
      <c r="H169" s="19"/>
      <c r="I169" s="19"/>
      <c r="J169" s="19"/>
    </row>
    <row r="170" spans="1:10">
      <c r="A170" s="19"/>
      <c r="B170" s="19"/>
      <c r="C170" s="19"/>
      <c r="D170" s="19"/>
      <c r="E170" s="19"/>
      <c r="F170" s="19"/>
      <c r="G170" s="19"/>
      <c r="H170" s="19"/>
      <c r="I170" s="19"/>
      <c r="J170" s="19"/>
    </row>
    <row r="171" spans="1:10">
      <c r="A171" s="19"/>
      <c r="B171" s="19"/>
      <c r="C171" s="19"/>
      <c r="D171" s="19"/>
      <c r="E171" s="19"/>
      <c r="F171" s="19"/>
      <c r="G171" s="19"/>
      <c r="H171" s="19"/>
      <c r="I171" s="19"/>
      <c r="J171" s="19"/>
    </row>
    <row r="172" spans="1:10">
      <c r="A172" s="19"/>
      <c r="B172" s="19"/>
      <c r="C172" s="19"/>
      <c r="D172" s="19"/>
      <c r="E172" s="19"/>
      <c r="F172" s="19"/>
      <c r="G172" s="19"/>
      <c r="H172" s="19"/>
      <c r="I172" s="19"/>
      <c r="J172" s="19"/>
    </row>
    <row r="173" spans="1:10">
      <c r="A173" s="19"/>
      <c r="B173" s="19"/>
      <c r="C173" s="19"/>
      <c r="D173" s="19"/>
      <c r="E173" s="19"/>
      <c r="F173" s="19"/>
      <c r="G173" s="19"/>
      <c r="H173" s="19"/>
      <c r="I173" s="19"/>
      <c r="J173" s="19"/>
    </row>
    <row r="174" spans="1:10">
      <c r="A174" s="19"/>
      <c r="B174" s="19"/>
      <c r="C174" s="19"/>
      <c r="D174" s="19"/>
      <c r="E174" s="19"/>
      <c r="F174" s="19"/>
      <c r="G174" s="19"/>
      <c r="H174" s="19"/>
      <c r="I174" s="19"/>
      <c r="J174" s="19"/>
    </row>
    <row r="175" spans="1:10">
      <c r="A175" s="19"/>
      <c r="B175" s="19"/>
      <c r="C175" s="19"/>
      <c r="D175" s="19"/>
      <c r="E175" s="19"/>
      <c r="F175" s="19"/>
      <c r="G175" s="19"/>
      <c r="H175" s="19"/>
      <c r="I175" s="19"/>
      <c r="J175" s="19"/>
    </row>
    <row r="176" spans="1:10">
      <c r="A176" s="19"/>
      <c r="B176" s="19"/>
      <c r="C176" s="19"/>
      <c r="D176" s="19"/>
      <c r="E176" s="19"/>
      <c r="F176" s="19"/>
      <c r="G176" s="19"/>
      <c r="H176" s="19"/>
      <c r="I176" s="19"/>
      <c r="J176" s="19"/>
    </row>
    <row r="177" spans="1:10">
      <c r="A177" s="19"/>
      <c r="B177" s="19"/>
      <c r="C177" s="19"/>
      <c r="D177" s="19"/>
      <c r="E177" s="19"/>
      <c r="F177" s="19"/>
      <c r="G177" s="19"/>
      <c r="H177" s="19"/>
      <c r="I177" s="19"/>
      <c r="J177" s="19"/>
    </row>
    <row r="178" spans="1:10">
      <c r="A178" s="19"/>
      <c r="B178" s="19"/>
      <c r="C178" s="19"/>
      <c r="D178" s="19"/>
      <c r="E178" s="19"/>
      <c r="F178" s="19"/>
      <c r="G178" s="19"/>
      <c r="H178" s="19"/>
      <c r="I178" s="19"/>
      <c r="J178" s="19"/>
    </row>
    <row r="179" spans="1:10">
      <c r="A179" s="19"/>
      <c r="B179" s="19"/>
      <c r="C179" s="19"/>
      <c r="D179" s="19"/>
      <c r="E179" s="19"/>
      <c r="F179" s="19"/>
      <c r="G179" s="19"/>
      <c r="H179" s="19"/>
      <c r="I179" s="19"/>
      <c r="J179" s="19"/>
    </row>
    <row r="180" spans="1:10">
      <c r="A180" s="19"/>
      <c r="B180" s="19"/>
      <c r="C180" s="19"/>
      <c r="D180" s="19"/>
      <c r="E180" s="19"/>
      <c r="F180" s="19"/>
      <c r="G180" s="19"/>
      <c r="H180" s="19"/>
      <c r="I180" s="19"/>
      <c r="J180" s="19"/>
    </row>
    <row r="181" spans="1:10">
      <c r="A181" s="19"/>
      <c r="B181" s="19"/>
      <c r="C181" s="19"/>
      <c r="D181" s="19"/>
      <c r="E181" s="19"/>
      <c r="F181" s="19"/>
      <c r="G181" s="19"/>
      <c r="H181" s="19"/>
      <c r="I181" s="19"/>
      <c r="J181" s="19"/>
    </row>
    <row r="182" spans="1:10">
      <c r="A182" s="19"/>
      <c r="B182" s="19"/>
      <c r="C182" s="19"/>
      <c r="D182" s="19"/>
      <c r="E182" s="19"/>
      <c r="F182" s="19"/>
      <c r="G182" s="19"/>
      <c r="H182" s="19"/>
      <c r="I182" s="19"/>
      <c r="J182" s="19"/>
    </row>
    <row r="183" spans="1:10">
      <c r="A183" s="19"/>
      <c r="B183" s="19"/>
      <c r="C183" s="19"/>
      <c r="D183" s="19"/>
      <c r="E183" s="19"/>
      <c r="F183" s="19"/>
      <c r="G183" s="19"/>
      <c r="H183" s="19"/>
      <c r="I183" s="19"/>
      <c r="J183" s="19"/>
    </row>
    <row r="184" spans="1:10">
      <c r="A184" s="19"/>
      <c r="B184" s="19"/>
      <c r="C184" s="19"/>
      <c r="D184" s="19"/>
      <c r="E184" s="19"/>
      <c r="F184" s="19"/>
      <c r="G184" s="19"/>
      <c r="H184" s="19"/>
      <c r="I184" s="19"/>
      <c r="J184" s="19"/>
    </row>
    <row r="185" spans="1:10">
      <c r="A185" s="19"/>
      <c r="B185" s="19"/>
      <c r="C185" s="19"/>
      <c r="D185" s="19"/>
      <c r="E185" s="19"/>
      <c r="F185" s="19"/>
      <c r="G185" s="19"/>
      <c r="H185" s="19"/>
      <c r="I185" s="19"/>
      <c r="J185" s="19"/>
    </row>
    <row r="186" spans="1:10">
      <c r="A186" s="19"/>
      <c r="B186" s="19"/>
      <c r="C186" s="19"/>
      <c r="D186" s="19"/>
      <c r="E186" s="19"/>
      <c r="F186" s="19"/>
      <c r="G186" s="19"/>
      <c r="H186" s="19"/>
      <c r="I186" s="19"/>
      <c r="J186" s="19"/>
    </row>
    <row r="187" spans="1:10">
      <c r="A187" s="19"/>
      <c r="B187" s="19"/>
      <c r="C187" s="19"/>
      <c r="D187" s="19"/>
      <c r="E187" s="19"/>
      <c r="F187" s="19"/>
      <c r="G187" s="19"/>
      <c r="H187" s="19"/>
      <c r="I187" s="19"/>
      <c r="J187" s="19"/>
    </row>
    <row r="188" spans="1:10">
      <c r="A188" s="19"/>
      <c r="B188" s="19"/>
      <c r="C188" s="19"/>
      <c r="D188" s="19"/>
      <c r="E188" s="19"/>
      <c r="F188" s="19"/>
      <c r="G188" s="19"/>
      <c r="H188" s="19"/>
      <c r="I188" s="19"/>
      <c r="J188" s="19"/>
    </row>
    <row r="189" spans="1:10">
      <c r="A189" s="19"/>
      <c r="B189" s="19"/>
      <c r="C189" s="19"/>
      <c r="D189" s="19"/>
      <c r="E189" s="19"/>
      <c r="F189" s="19"/>
      <c r="G189" s="19"/>
      <c r="H189" s="19"/>
      <c r="I189" s="19"/>
      <c r="J189" s="19"/>
    </row>
    <row r="190" spans="1:10">
      <c r="A190" s="19"/>
      <c r="B190" s="19"/>
      <c r="C190" s="19"/>
      <c r="D190" s="19"/>
      <c r="E190" s="19"/>
      <c r="F190" s="19"/>
      <c r="G190" s="19"/>
      <c r="H190" s="19"/>
      <c r="I190" s="19"/>
      <c r="J190" s="19"/>
    </row>
    <row r="191" spans="1:10">
      <c r="A191" s="19"/>
      <c r="B191" s="19"/>
      <c r="C191" s="19"/>
      <c r="D191" s="19"/>
      <c r="E191" s="19"/>
      <c r="F191" s="19"/>
      <c r="G191" s="19"/>
      <c r="H191" s="19"/>
      <c r="I191" s="19"/>
      <c r="J191" s="19"/>
    </row>
    <row r="192" spans="1:10">
      <c r="A192" s="19"/>
      <c r="B192" s="19"/>
      <c r="C192" s="19"/>
      <c r="D192" s="19"/>
      <c r="E192" s="19"/>
      <c r="F192" s="19"/>
      <c r="G192" s="19"/>
      <c r="H192" s="19"/>
      <c r="I192" s="19"/>
      <c r="J192" s="19"/>
    </row>
    <row r="193" spans="1:10">
      <c r="A193" s="19"/>
      <c r="B193" s="19"/>
      <c r="C193" s="19"/>
      <c r="D193" s="19"/>
      <c r="E193" s="19"/>
      <c r="F193" s="19"/>
      <c r="G193" s="19"/>
      <c r="H193" s="19"/>
      <c r="I193" s="19"/>
      <c r="J193" s="19"/>
    </row>
    <row r="194" spans="1:10">
      <c r="A194" s="19"/>
      <c r="B194" s="19"/>
      <c r="C194" s="19"/>
      <c r="D194" s="19"/>
      <c r="E194" s="19"/>
      <c r="F194" s="19"/>
      <c r="G194" s="19"/>
      <c r="H194" s="19"/>
      <c r="I194" s="19"/>
      <c r="J194" s="19"/>
    </row>
    <row r="195" spans="1:10">
      <c r="A195" s="19"/>
      <c r="B195" s="19"/>
      <c r="C195" s="19"/>
      <c r="D195" s="19"/>
      <c r="E195" s="19"/>
      <c r="F195" s="19"/>
      <c r="G195" s="19"/>
      <c r="H195" s="19"/>
      <c r="I195" s="19"/>
      <c r="J195" s="19"/>
    </row>
    <row r="196" spans="1:10">
      <c r="A196" s="19"/>
      <c r="B196" s="19"/>
      <c r="C196" s="19"/>
      <c r="D196" s="19"/>
      <c r="E196" s="19"/>
      <c r="F196" s="19"/>
      <c r="G196" s="19"/>
      <c r="H196" s="19"/>
      <c r="I196" s="19"/>
      <c r="J196" s="19"/>
    </row>
    <row r="197" spans="1:10">
      <c r="A197" s="19"/>
      <c r="B197" s="19"/>
      <c r="C197" s="19"/>
      <c r="D197" s="19"/>
      <c r="E197" s="19"/>
      <c r="F197" s="19"/>
      <c r="G197" s="19"/>
      <c r="H197" s="19"/>
      <c r="I197" s="19"/>
      <c r="J197" s="19"/>
    </row>
    <row r="198" spans="1:10">
      <c r="A198" s="19"/>
      <c r="B198" s="19"/>
      <c r="C198" s="19"/>
      <c r="D198" s="19"/>
      <c r="E198" s="19"/>
      <c r="F198" s="19"/>
      <c r="G198" s="19"/>
      <c r="H198" s="19"/>
      <c r="I198" s="19"/>
      <c r="J198" s="19"/>
    </row>
    <row r="199" spans="1:10">
      <c r="A199" s="19"/>
      <c r="B199" s="19"/>
      <c r="C199" s="19"/>
      <c r="D199" s="19"/>
      <c r="E199" s="19"/>
      <c r="F199" s="19"/>
      <c r="G199" s="19"/>
      <c r="H199" s="19"/>
      <c r="I199" s="19"/>
      <c r="J199" s="19"/>
    </row>
    <row r="200" spans="1:10">
      <c r="A200" s="19"/>
      <c r="B200" s="19"/>
      <c r="C200" s="19"/>
      <c r="D200" s="19"/>
      <c r="E200" s="19"/>
      <c r="F200" s="19"/>
      <c r="G200" s="19"/>
      <c r="H200" s="19"/>
      <c r="I200" s="19"/>
      <c r="J200" s="19"/>
    </row>
    <row r="201" spans="1:10">
      <c r="A201" s="19"/>
      <c r="B201" s="19"/>
      <c r="C201" s="19"/>
      <c r="D201" s="19"/>
      <c r="E201" s="19"/>
      <c r="F201" s="19"/>
      <c r="G201" s="19"/>
      <c r="H201" s="19"/>
      <c r="I201" s="19"/>
      <c r="J201" s="19"/>
    </row>
    <row r="202" spans="1:10">
      <c r="A202" s="19"/>
      <c r="B202" s="19"/>
      <c r="C202" s="19"/>
      <c r="D202" s="19"/>
      <c r="E202" s="19"/>
      <c r="F202" s="19"/>
      <c r="G202" s="19"/>
      <c r="H202" s="19"/>
      <c r="I202" s="19"/>
      <c r="J202" s="19"/>
    </row>
    <row r="203" spans="1:10">
      <c r="A203" s="19"/>
      <c r="B203" s="19"/>
      <c r="C203" s="19"/>
      <c r="D203" s="19"/>
      <c r="E203" s="19"/>
      <c r="F203" s="19"/>
      <c r="G203" s="19"/>
      <c r="H203" s="19"/>
      <c r="I203" s="19"/>
      <c r="J203" s="19"/>
    </row>
    <row r="204" spans="1:10">
      <c r="A204" s="19"/>
      <c r="B204" s="19"/>
      <c r="C204" s="19"/>
      <c r="D204" s="19"/>
      <c r="E204" s="19"/>
      <c r="F204" s="19"/>
      <c r="G204" s="19"/>
      <c r="H204" s="19"/>
      <c r="I204" s="19"/>
      <c r="J204" s="19"/>
    </row>
    <row r="205" spans="1:10">
      <c r="A205" s="19"/>
      <c r="B205" s="19"/>
      <c r="C205" s="19"/>
      <c r="D205" s="19"/>
      <c r="E205" s="19"/>
      <c r="F205" s="19"/>
      <c r="G205" s="19"/>
      <c r="H205" s="19"/>
      <c r="I205" s="19"/>
      <c r="J205" s="19"/>
    </row>
    <row r="206" spans="1:10">
      <c r="A206" s="19"/>
      <c r="B206" s="19"/>
      <c r="C206" s="19"/>
      <c r="D206" s="19"/>
      <c r="E206" s="19"/>
      <c r="F206" s="19"/>
      <c r="G206" s="19"/>
      <c r="H206" s="19"/>
      <c r="I206" s="19"/>
      <c r="J206" s="19"/>
    </row>
    <row r="207" spans="1:10">
      <c r="A207" s="19"/>
      <c r="B207" s="19"/>
      <c r="C207" s="19"/>
      <c r="D207" s="19"/>
      <c r="E207" s="19"/>
      <c r="F207" s="19"/>
      <c r="G207" s="19"/>
      <c r="H207" s="19"/>
      <c r="I207" s="19"/>
      <c r="J207" s="19"/>
    </row>
    <row r="208" spans="1:10">
      <c r="A208" s="19"/>
      <c r="B208" s="19"/>
      <c r="C208" s="19"/>
      <c r="D208" s="19"/>
      <c r="E208" s="19"/>
      <c r="F208" s="19"/>
      <c r="G208" s="19"/>
      <c r="H208" s="19"/>
      <c r="I208" s="19"/>
      <c r="J208" s="19"/>
    </row>
    <row r="209" spans="1:10">
      <c r="A209" s="19"/>
      <c r="B209" s="19"/>
      <c r="C209" s="19"/>
      <c r="D209" s="19"/>
      <c r="E209" s="19"/>
      <c r="F209" s="19"/>
      <c r="G209" s="19"/>
      <c r="H209" s="19"/>
      <c r="I209" s="19"/>
      <c r="J209" s="19"/>
    </row>
    <row r="210" spans="1:10">
      <c r="A210" s="19"/>
      <c r="B210" s="19"/>
      <c r="C210" s="19"/>
      <c r="D210" s="19"/>
      <c r="E210" s="19"/>
      <c r="F210" s="19"/>
      <c r="G210" s="19"/>
      <c r="H210" s="19"/>
      <c r="I210" s="19"/>
      <c r="J210" s="19"/>
    </row>
    <row r="211" spans="1:10">
      <c r="A211" s="19"/>
      <c r="B211" s="19"/>
      <c r="C211" s="19"/>
      <c r="D211" s="19"/>
      <c r="E211" s="19"/>
      <c r="F211" s="19"/>
      <c r="G211" s="19"/>
      <c r="H211" s="19"/>
      <c r="I211" s="19"/>
      <c r="J211" s="19"/>
    </row>
    <row r="212" spans="1:10">
      <c r="A212" s="19"/>
      <c r="B212" s="19"/>
      <c r="C212" s="19"/>
      <c r="D212" s="19"/>
      <c r="E212" s="19"/>
      <c r="F212" s="19"/>
      <c r="G212" s="19"/>
      <c r="H212" s="19"/>
      <c r="I212" s="19"/>
      <c r="J212" s="19"/>
    </row>
    <row r="213" spans="1:10">
      <c r="A213" s="19"/>
      <c r="B213" s="19"/>
      <c r="C213" s="19"/>
      <c r="D213" s="19"/>
      <c r="E213" s="19"/>
      <c r="F213" s="19"/>
      <c r="G213" s="19"/>
      <c r="H213" s="19"/>
      <c r="I213" s="19"/>
      <c r="J213" s="19"/>
    </row>
    <row r="214" spans="1:10">
      <c r="A214" s="19"/>
      <c r="B214" s="19"/>
      <c r="C214" s="19"/>
      <c r="D214" s="19"/>
      <c r="E214" s="19"/>
      <c r="F214" s="19"/>
      <c r="G214" s="19"/>
      <c r="H214" s="19"/>
      <c r="I214" s="19"/>
      <c r="J214" s="19"/>
    </row>
    <row r="215" spans="1:10">
      <c r="A215" s="19"/>
      <c r="B215" s="19"/>
      <c r="C215" s="19"/>
      <c r="D215" s="19"/>
      <c r="E215" s="19"/>
      <c r="F215" s="19"/>
      <c r="G215" s="19"/>
      <c r="H215" s="19"/>
      <c r="I215" s="19"/>
      <c r="J215" s="19"/>
    </row>
    <row r="216" spans="1:10">
      <c r="A216" s="19"/>
      <c r="B216" s="19"/>
      <c r="C216" s="19"/>
      <c r="D216" s="19"/>
      <c r="E216" s="19"/>
      <c r="F216" s="19"/>
      <c r="G216" s="19"/>
      <c r="H216" s="19"/>
      <c r="I216" s="19"/>
      <c r="J216" s="19"/>
    </row>
    <row r="217" spans="1:10">
      <c r="A217" s="19"/>
      <c r="B217" s="19"/>
      <c r="C217" s="19"/>
      <c r="D217" s="19"/>
      <c r="E217" s="19"/>
      <c r="F217" s="19"/>
      <c r="G217" s="19"/>
      <c r="H217" s="19"/>
      <c r="I217" s="19"/>
      <c r="J217" s="19"/>
    </row>
    <row r="218" spans="1:10">
      <c r="A218" s="19"/>
      <c r="B218" s="19"/>
      <c r="C218" s="19"/>
      <c r="D218" s="19"/>
      <c r="E218" s="19"/>
      <c r="F218" s="19"/>
      <c r="G218" s="19"/>
      <c r="H218" s="19"/>
      <c r="I218" s="19"/>
      <c r="J218" s="19"/>
    </row>
    <row r="219" spans="1:10">
      <c r="A219" s="19"/>
      <c r="B219" s="19"/>
      <c r="C219" s="19"/>
      <c r="D219" s="19"/>
      <c r="E219" s="19"/>
      <c r="F219" s="19"/>
      <c r="G219" s="19"/>
      <c r="H219" s="19"/>
      <c r="I219" s="19"/>
      <c r="J219" s="19"/>
    </row>
    <row r="220" spans="1:10">
      <c r="A220" s="19"/>
      <c r="B220" s="19"/>
      <c r="C220" s="19"/>
      <c r="D220" s="19"/>
      <c r="E220" s="19"/>
      <c r="F220" s="19"/>
      <c r="G220" s="19"/>
      <c r="H220" s="19"/>
      <c r="I220" s="19"/>
      <c r="J220" s="19"/>
    </row>
    <row r="221" spans="1:10">
      <c r="A221" s="19"/>
      <c r="B221" s="19"/>
      <c r="C221" s="19"/>
      <c r="D221" s="19"/>
      <c r="E221" s="19"/>
      <c r="F221" s="19"/>
      <c r="G221" s="19"/>
      <c r="H221" s="19"/>
      <c r="I221" s="19"/>
      <c r="J221" s="19"/>
    </row>
    <row r="222" spans="1:10">
      <c r="A222" s="19"/>
      <c r="B222" s="19"/>
      <c r="C222" s="19"/>
      <c r="D222" s="19"/>
      <c r="E222" s="19"/>
      <c r="F222" s="19"/>
      <c r="G222" s="19"/>
      <c r="H222" s="19"/>
      <c r="I222" s="19"/>
      <c r="J222" s="19"/>
    </row>
    <row r="223" spans="1:10">
      <c r="A223" s="19"/>
      <c r="B223" s="19"/>
      <c r="C223" s="19"/>
      <c r="D223" s="19"/>
      <c r="E223" s="19"/>
      <c r="F223" s="19"/>
      <c r="G223" s="19"/>
      <c r="H223" s="19"/>
      <c r="I223" s="19"/>
      <c r="J223" s="19"/>
    </row>
    <row r="224" spans="1:10">
      <c r="A224" s="19"/>
      <c r="B224" s="19"/>
      <c r="C224" s="19"/>
      <c r="D224" s="19"/>
      <c r="E224" s="19"/>
      <c r="F224" s="19"/>
      <c r="G224" s="19"/>
      <c r="H224" s="19"/>
      <c r="I224" s="19"/>
      <c r="J224" s="19"/>
    </row>
    <row r="225" spans="1:10">
      <c r="A225" s="19"/>
      <c r="B225" s="19"/>
      <c r="C225" s="19"/>
      <c r="D225" s="19"/>
      <c r="E225" s="19"/>
      <c r="F225" s="19"/>
      <c r="G225" s="19"/>
      <c r="H225" s="19"/>
      <c r="I225" s="19"/>
      <c r="J225" s="19"/>
    </row>
    <row r="226" spans="1:10">
      <c r="A226" s="19"/>
      <c r="B226" s="19"/>
      <c r="C226" s="19"/>
      <c r="D226" s="19"/>
      <c r="E226" s="19"/>
      <c r="F226" s="19"/>
      <c r="G226" s="19"/>
      <c r="H226" s="19"/>
      <c r="I226" s="19"/>
      <c r="J226" s="19"/>
    </row>
    <row r="227" spans="1:10">
      <c r="A227" s="19"/>
      <c r="B227" s="19"/>
      <c r="C227" s="19"/>
      <c r="D227" s="19"/>
      <c r="E227" s="19"/>
      <c r="F227" s="19"/>
      <c r="G227" s="19"/>
      <c r="H227" s="19"/>
      <c r="I227" s="19"/>
      <c r="J227" s="19"/>
    </row>
    <row r="228" spans="1:10">
      <c r="A228" s="19"/>
      <c r="B228" s="19"/>
      <c r="C228" s="19"/>
      <c r="D228" s="19"/>
      <c r="E228" s="19"/>
      <c r="F228" s="19"/>
      <c r="G228" s="19"/>
      <c r="H228" s="19"/>
      <c r="I228" s="19"/>
      <c r="J228" s="19"/>
    </row>
    <row r="229" spans="1:10">
      <c r="A229" s="19"/>
      <c r="B229" s="19"/>
      <c r="C229" s="19"/>
      <c r="D229" s="19"/>
      <c r="E229" s="19"/>
      <c r="F229" s="19"/>
      <c r="G229" s="19"/>
      <c r="H229" s="19"/>
      <c r="I229" s="19"/>
      <c r="J229" s="19"/>
    </row>
    <row r="230" spans="1:10">
      <c r="A230" s="19"/>
      <c r="B230" s="19"/>
      <c r="C230" s="19"/>
      <c r="D230" s="19"/>
      <c r="E230" s="19"/>
      <c r="F230" s="19"/>
      <c r="G230" s="19"/>
      <c r="H230" s="19"/>
      <c r="I230" s="19"/>
      <c r="J230" s="19"/>
    </row>
    <row r="231" spans="1:10">
      <c r="A231" s="19"/>
      <c r="B231" s="19"/>
      <c r="C231" s="19"/>
      <c r="D231" s="19"/>
      <c r="E231" s="19"/>
      <c r="F231" s="19"/>
      <c r="G231" s="19"/>
      <c r="H231" s="19"/>
      <c r="I231" s="19"/>
      <c r="J231" s="19"/>
    </row>
    <row r="232" spans="1:10">
      <c r="A232" s="19"/>
      <c r="B232" s="19"/>
      <c r="C232" s="19"/>
      <c r="D232" s="19"/>
      <c r="E232" s="19"/>
      <c r="F232" s="19"/>
      <c r="G232" s="19"/>
      <c r="H232" s="19"/>
      <c r="I232" s="19"/>
      <c r="J232" s="19"/>
    </row>
    <row r="233" spans="1:10">
      <c r="A233" s="19"/>
      <c r="B233" s="19"/>
      <c r="C233" s="19"/>
      <c r="D233" s="19"/>
      <c r="E233" s="19"/>
      <c r="F233" s="19"/>
      <c r="G233" s="19"/>
      <c r="H233" s="19"/>
      <c r="I233" s="19"/>
      <c r="J233" s="19"/>
    </row>
  </sheetData>
  <sheetProtection password="CF95" sheet="1" objects="1" scenarios="1"/>
  <mergeCells count="34">
    <mergeCell ref="A35:I36"/>
    <mergeCell ref="D59:E59"/>
    <mergeCell ref="C26:E26"/>
    <mergeCell ref="C27:E27"/>
    <mergeCell ref="C28:E28"/>
    <mergeCell ref="C29:E29"/>
    <mergeCell ref="C30:E30"/>
    <mergeCell ref="D37:I38"/>
    <mergeCell ref="E53:E54"/>
    <mergeCell ref="A49:I50"/>
    <mergeCell ref="A68:B68"/>
    <mergeCell ref="C68:D68"/>
    <mergeCell ref="E68:F68"/>
    <mergeCell ref="G68:H68"/>
    <mergeCell ref="A66:B66"/>
    <mergeCell ref="E66:F66"/>
    <mergeCell ref="G66:H66"/>
    <mergeCell ref="A67:B67"/>
    <mergeCell ref="C67:D67"/>
    <mergeCell ref="E67:F67"/>
    <mergeCell ref="G67:H67"/>
    <mergeCell ref="A65:B65"/>
    <mergeCell ref="C65:D65"/>
    <mergeCell ref="E65:F65"/>
    <mergeCell ref="G65:H65"/>
    <mergeCell ref="A64:D64"/>
    <mergeCell ref="E64:H64"/>
    <mergeCell ref="C25:E25"/>
    <mergeCell ref="D2:G4"/>
    <mergeCell ref="A20:H20"/>
    <mergeCell ref="C21:E21"/>
    <mergeCell ref="C22:E22"/>
    <mergeCell ref="C23:E23"/>
    <mergeCell ref="C24:E24"/>
  </mergeCells>
  <dataValidations count="1">
    <dataValidation type="list" allowBlank="1" showInputMessage="1" showErrorMessage="1" sqref="G16">
      <formula1>$A$46:$A$48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14:formula1>
            <xm:f>BO!$G$3:$G$5</xm:f>
          </x14:formula1>
          <xm:sqref>H15 F11:F12 E14</xm:sqref>
        </x14:dataValidation>
        <x14:dataValidation type="list" showInputMessage="1" showErrorMessage="1">
          <x14:formula1>
            <xm:f>BO!$E$20:$E$23</xm:f>
          </x14:formula1>
          <xm:sqref>D59</xm:sqref>
        </x14:dataValidation>
        <x14:dataValidation type="list" showInputMessage="1" showErrorMessage="1">
          <x14:formula1>
            <xm:f>BO!$F$8:$F$16</xm:f>
          </x14:formula1>
          <xm:sqref>C22:E30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49"/>
  <sheetViews>
    <sheetView workbookViewId="0">
      <selection activeCell="A37" sqref="A37"/>
    </sheetView>
  </sheetViews>
  <sheetFormatPr baseColWidth="10" defaultRowHeight="15"/>
  <cols>
    <col min="2" max="2" width="12.42578125" customWidth="1"/>
    <col min="3" max="3" width="15.140625" customWidth="1"/>
    <col min="6" max="6" width="13" customWidth="1"/>
    <col min="7" max="7" width="9.5703125" customWidth="1"/>
  </cols>
  <sheetData>
    <row r="1" spans="1:8" ht="18.75">
      <c r="A1" s="570" t="s">
        <v>293</v>
      </c>
      <c r="B1" s="19"/>
      <c r="C1" s="193"/>
      <c r="D1" s="194"/>
      <c r="E1" s="194"/>
      <c r="F1" s="194"/>
      <c r="G1" s="194"/>
      <c r="H1" s="19"/>
    </row>
    <row r="2" spans="1:8">
      <c r="A2" s="192"/>
      <c r="B2" s="19"/>
      <c r="C2" s="193"/>
      <c r="D2" s="194"/>
      <c r="E2" s="194"/>
      <c r="F2" s="194"/>
      <c r="G2" s="194"/>
      <c r="H2" s="19"/>
    </row>
    <row r="3" spans="1:8">
      <c r="A3" s="192" t="s">
        <v>286</v>
      </c>
      <c r="B3" s="192"/>
      <c r="C3" s="192"/>
      <c r="D3" s="615">
        <v>1.0999999999999999E-2</v>
      </c>
      <c r="E3" s="19" t="s">
        <v>294</v>
      </c>
      <c r="F3" s="194"/>
      <c r="G3" s="194"/>
      <c r="H3" s="19"/>
    </row>
    <row r="4" spans="1:8">
      <c r="A4" s="192" t="s">
        <v>287</v>
      </c>
      <c r="B4" s="192"/>
      <c r="C4" s="192"/>
      <c r="D4" s="192"/>
      <c r="E4" s="616">
        <f>7*12</f>
        <v>84</v>
      </c>
      <c r="F4" s="19" t="s">
        <v>288</v>
      </c>
      <c r="G4" s="19"/>
      <c r="H4" s="19"/>
    </row>
    <row r="5" spans="1:8">
      <c r="A5" s="192"/>
      <c r="B5" s="196" t="s">
        <v>289</v>
      </c>
      <c r="C5" s="193"/>
      <c r="D5" s="194"/>
      <c r="E5" s="194"/>
      <c r="F5" s="194"/>
      <c r="G5" s="194"/>
      <c r="H5" s="19"/>
    </row>
    <row r="6" spans="1:8">
      <c r="A6" s="192" t="s">
        <v>290</v>
      </c>
      <c r="B6" s="617">
        <v>0.02</v>
      </c>
      <c r="C6" s="19"/>
      <c r="D6" s="194"/>
      <c r="E6" s="194"/>
      <c r="F6" s="194"/>
      <c r="G6" s="194"/>
      <c r="H6" s="19"/>
    </row>
    <row r="7" spans="1:8">
      <c r="A7" s="192" t="s">
        <v>291</v>
      </c>
      <c r="B7" s="192"/>
      <c r="C7" s="615">
        <v>1.4999999999999999E-2</v>
      </c>
      <c r="D7" s="194"/>
      <c r="E7" s="192" t="s">
        <v>292</v>
      </c>
      <c r="F7" s="192"/>
      <c r="G7" s="569">
        <f>(1+C7)^(1/12)-1</f>
        <v>1.2414877164492744E-3</v>
      </c>
      <c r="H7" s="19"/>
    </row>
    <row r="8" spans="1:8" ht="15" customHeight="1">
      <c r="A8" s="192"/>
      <c r="C8" s="195"/>
      <c r="D8" s="195"/>
      <c r="E8" s="195"/>
      <c r="F8" s="195"/>
      <c r="G8" s="195"/>
      <c r="H8" s="195"/>
    </row>
    <row r="9" spans="1:8" ht="15" customHeight="1">
      <c r="A9" s="921" t="s">
        <v>642</v>
      </c>
      <c r="B9" s="921"/>
      <c r="C9" s="921"/>
      <c r="D9" s="921"/>
      <c r="E9" s="921"/>
      <c r="F9" s="921"/>
      <c r="G9" s="921"/>
      <c r="H9" s="195"/>
    </row>
    <row r="10" spans="1:8">
      <c r="A10" s="921"/>
      <c r="B10" s="921"/>
      <c r="C10" s="921"/>
      <c r="D10" s="921"/>
      <c r="E10" s="921"/>
      <c r="F10" s="921"/>
      <c r="G10" s="921"/>
      <c r="H10" s="195"/>
    </row>
    <row r="11" spans="1:8">
      <c r="A11" s="921"/>
      <c r="B11" s="921"/>
      <c r="C11" s="921"/>
      <c r="D11" s="921"/>
      <c r="E11" s="921"/>
      <c r="F11" s="921"/>
      <c r="G11" s="921"/>
      <c r="H11" s="195"/>
    </row>
    <row r="12" spans="1:8">
      <c r="A12" s="19"/>
      <c r="B12" s="19"/>
      <c r="C12" s="19"/>
      <c r="D12" s="19"/>
      <c r="E12" s="19"/>
      <c r="F12" s="19"/>
      <c r="G12" s="19"/>
    </row>
    <row r="13" spans="1:8">
      <c r="A13" s="192" t="s">
        <v>658</v>
      </c>
      <c r="B13" s="19"/>
      <c r="C13" s="19"/>
      <c r="D13" s="19"/>
      <c r="E13" s="19"/>
      <c r="F13" s="19"/>
      <c r="G13" s="19"/>
    </row>
    <row r="14" spans="1:8">
      <c r="A14" s="822" t="s">
        <v>656</v>
      </c>
      <c r="B14" s="822"/>
      <c r="C14" s="550" t="s">
        <v>657</v>
      </c>
      <c r="D14" s="571"/>
      <c r="E14" s="571"/>
      <c r="F14" s="19"/>
      <c r="G14" s="19"/>
    </row>
    <row r="15" spans="1:8">
      <c r="A15" s="81" t="s">
        <v>643</v>
      </c>
      <c r="B15" s="82"/>
      <c r="C15" s="589">
        <v>480</v>
      </c>
      <c r="D15" s="17"/>
      <c r="E15" s="17"/>
      <c r="F15" s="19"/>
      <c r="G15" s="19"/>
    </row>
    <row r="16" spans="1:8">
      <c r="A16" s="81" t="s">
        <v>644</v>
      </c>
      <c r="B16" s="82"/>
      <c r="C16" s="589">
        <v>240</v>
      </c>
      <c r="D16" s="17"/>
      <c r="E16" s="17"/>
      <c r="F16" s="19"/>
      <c r="G16" s="19"/>
    </row>
    <row r="17" spans="1:10">
      <c r="A17" s="81" t="s">
        <v>645</v>
      </c>
      <c r="B17" s="82"/>
      <c r="C17" s="589">
        <v>300</v>
      </c>
      <c r="D17" s="17"/>
      <c r="E17" s="17"/>
      <c r="F17" s="19"/>
      <c r="G17" s="19"/>
    </row>
    <row r="18" spans="1:10">
      <c r="A18" s="81" t="s">
        <v>646</v>
      </c>
      <c r="B18" s="82"/>
      <c r="C18" s="589">
        <v>240</v>
      </c>
      <c r="D18" s="17"/>
      <c r="E18" s="17"/>
      <c r="F18" s="19"/>
      <c r="G18" s="19"/>
    </row>
    <row r="19" spans="1:10">
      <c r="A19" s="81" t="s">
        <v>647</v>
      </c>
      <c r="B19" s="82"/>
      <c r="C19" s="589">
        <v>180</v>
      </c>
      <c r="D19" s="17"/>
      <c r="E19" s="17"/>
      <c r="F19" s="19"/>
      <c r="G19" s="19"/>
    </row>
    <row r="20" spans="1:10">
      <c r="A20" s="81" t="s">
        <v>648</v>
      </c>
      <c r="B20" s="82"/>
      <c r="C20" s="589">
        <v>120</v>
      </c>
      <c r="D20" s="17"/>
      <c r="E20" s="17"/>
      <c r="F20" s="19"/>
      <c r="G20" s="19"/>
    </row>
    <row r="21" spans="1:10">
      <c r="A21" s="81" t="s">
        <v>649</v>
      </c>
      <c r="B21" s="82"/>
      <c r="C21" s="589">
        <v>60</v>
      </c>
      <c r="D21" s="17"/>
      <c r="E21" s="17"/>
      <c r="F21" s="19"/>
      <c r="G21" s="19"/>
    </row>
    <row r="22" spans="1:10">
      <c r="A22" s="81" t="s">
        <v>650</v>
      </c>
      <c r="B22" s="82"/>
      <c r="C22" s="589">
        <v>60</v>
      </c>
      <c r="D22" s="17"/>
      <c r="E22" s="17"/>
      <c r="F22" s="19"/>
      <c r="G22" s="19"/>
    </row>
    <row r="23" spans="1:10">
      <c r="A23" s="81" t="s">
        <v>651</v>
      </c>
      <c r="B23" s="82"/>
      <c r="C23" s="589">
        <v>60</v>
      </c>
      <c r="D23" s="17"/>
      <c r="E23" s="17"/>
      <c r="F23" s="19"/>
      <c r="G23" s="19"/>
    </row>
    <row r="24" spans="1:10">
      <c r="A24" s="81" t="s">
        <v>652</v>
      </c>
      <c r="B24" s="82"/>
      <c r="C24" s="589">
        <v>120</v>
      </c>
      <c r="D24" s="17"/>
      <c r="E24" s="17"/>
      <c r="F24" s="19"/>
      <c r="G24" s="19"/>
    </row>
    <row r="25" spans="1:10">
      <c r="A25" s="81" t="s">
        <v>659</v>
      </c>
      <c r="B25" s="82"/>
      <c r="C25" s="589">
        <v>120</v>
      </c>
      <c r="D25" s="17"/>
      <c r="E25" s="17"/>
      <c r="F25" s="19"/>
      <c r="G25" s="19"/>
    </row>
    <row r="26" spans="1:10">
      <c r="A26" s="81" t="s">
        <v>660</v>
      </c>
      <c r="B26" s="82"/>
      <c r="C26" s="589">
        <v>120</v>
      </c>
      <c r="D26" s="17"/>
      <c r="E26" s="17"/>
      <c r="F26" s="19"/>
      <c r="G26" s="19"/>
    </row>
    <row r="27" spans="1:10">
      <c r="A27" s="81" t="s">
        <v>661</v>
      </c>
      <c r="B27" s="82"/>
      <c r="C27" s="589">
        <v>60</v>
      </c>
      <c r="D27" s="17"/>
      <c r="E27" s="17"/>
      <c r="F27" s="19"/>
      <c r="G27" s="19"/>
      <c r="J27" s="113"/>
    </row>
    <row r="28" spans="1:10">
      <c r="A28" s="81" t="s">
        <v>247</v>
      </c>
      <c r="B28" s="82"/>
      <c r="C28" s="589">
        <v>60</v>
      </c>
      <c r="D28" s="17"/>
      <c r="E28" s="17"/>
      <c r="F28" s="19"/>
      <c r="G28" s="19"/>
    </row>
    <row r="29" spans="1:10">
      <c r="A29" s="81" t="s">
        <v>653</v>
      </c>
      <c r="B29" s="82"/>
      <c r="C29" s="589">
        <v>48</v>
      </c>
      <c r="D29" s="17"/>
      <c r="E29" s="17"/>
      <c r="F29" s="19"/>
      <c r="G29" s="19"/>
    </row>
    <row r="30" spans="1:10">
      <c r="A30" s="81" t="s">
        <v>654</v>
      </c>
      <c r="B30" s="82"/>
      <c r="C30" s="589">
        <v>24</v>
      </c>
      <c r="D30" s="17"/>
      <c r="E30" s="17"/>
      <c r="F30" s="17"/>
      <c r="G30" s="17"/>
    </row>
    <row r="31" spans="1:10">
      <c r="A31" s="81" t="s">
        <v>221</v>
      </c>
      <c r="B31" s="82"/>
      <c r="C31" s="589">
        <v>60</v>
      </c>
      <c r="D31" s="3"/>
      <c r="E31" s="571"/>
      <c r="F31" s="571"/>
      <c r="G31" s="27"/>
    </row>
    <row r="32" spans="1:10">
      <c r="A32" s="81" t="s">
        <v>655</v>
      </c>
      <c r="B32" s="82"/>
      <c r="C32" s="589">
        <v>60</v>
      </c>
      <c r="D32" s="17"/>
      <c r="E32" s="27"/>
      <c r="F32" s="586"/>
      <c r="G32" s="27"/>
    </row>
    <row r="33" spans="1:7">
      <c r="A33" s="103"/>
      <c r="B33" s="104"/>
      <c r="C33" s="589"/>
      <c r="D33" s="17"/>
      <c r="E33" s="27"/>
      <c r="F33" s="27"/>
      <c r="G33" s="27"/>
    </row>
    <row r="34" spans="1:7">
      <c r="A34" s="103"/>
      <c r="B34" s="104"/>
      <c r="C34" s="589"/>
      <c r="D34" s="17"/>
      <c r="E34" s="27"/>
      <c r="F34" s="27"/>
      <c r="G34" s="27"/>
    </row>
    <row r="35" spans="1:7">
      <c r="A35" s="103"/>
      <c r="B35" s="104"/>
      <c r="C35" s="589"/>
      <c r="D35" s="17"/>
      <c r="E35" s="27"/>
      <c r="F35" s="27"/>
      <c r="G35" s="27"/>
    </row>
    <row r="36" spans="1:7">
      <c r="A36" s="103"/>
      <c r="B36" s="104"/>
      <c r="C36" s="589"/>
      <c r="D36" s="17"/>
      <c r="E36" s="27"/>
      <c r="F36" s="78"/>
      <c r="G36" s="78"/>
    </row>
    <row r="37" spans="1:7">
      <c r="A37" s="19"/>
      <c r="B37" s="19"/>
      <c r="C37" s="19"/>
      <c r="D37" s="19"/>
      <c r="E37" s="19"/>
      <c r="F37" s="19"/>
      <c r="G37" s="19"/>
    </row>
    <row r="38" spans="1:7">
      <c r="A38" s="19"/>
      <c r="B38" s="19"/>
      <c r="C38" s="19"/>
      <c r="D38" s="19"/>
      <c r="E38" s="19"/>
      <c r="F38" s="19"/>
      <c r="G38" s="19"/>
    </row>
    <row r="39" spans="1:7">
      <c r="A39" s="19"/>
      <c r="B39" s="19"/>
      <c r="C39" s="19"/>
      <c r="D39" s="19"/>
      <c r="E39" s="19"/>
      <c r="F39" s="19"/>
      <c r="G39" s="19"/>
    </row>
    <row r="40" spans="1:7">
      <c r="A40" s="19"/>
      <c r="B40" s="19"/>
      <c r="C40" s="19"/>
      <c r="D40" s="19"/>
      <c r="E40" s="19"/>
      <c r="F40" s="19"/>
      <c r="G40" s="19"/>
    </row>
    <row r="41" spans="1:7">
      <c r="A41" s="19"/>
      <c r="B41" s="19"/>
      <c r="C41" s="19"/>
      <c r="D41" s="19"/>
      <c r="E41" s="19"/>
      <c r="F41" s="19"/>
      <c r="G41" s="19"/>
    </row>
    <row r="42" spans="1:7">
      <c r="A42" s="19"/>
      <c r="B42" s="19"/>
      <c r="C42" s="19"/>
      <c r="D42" s="19"/>
      <c r="E42" s="19"/>
      <c r="F42" s="19"/>
      <c r="G42" s="19"/>
    </row>
    <row r="43" spans="1:7">
      <c r="A43" s="19"/>
      <c r="B43" s="19"/>
      <c r="C43" s="19"/>
      <c r="D43" s="19"/>
      <c r="E43" s="19"/>
      <c r="F43" s="19"/>
      <c r="G43" s="19"/>
    </row>
    <row r="44" spans="1:7">
      <c r="A44" s="19"/>
      <c r="B44" s="19"/>
      <c r="C44" s="19"/>
      <c r="D44" s="19"/>
      <c r="E44" s="19"/>
      <c r="F44" s="19"/>
      <c r="G44" s="19"/>
    </row>
    <row r="45" spans="1:7">
      <c r="A45" s="19"/>
      <c r="B45" s="19"/>
      <c r="C45" s="19"/>
      <c r="D45" s="19"/>
      <c r="E45" s="19"/>
      <c r="F45" s="19"/>
      <c r="G45" s="19"/>
    </row>
    <row r="46" spans="1:7">
      <c r="A46" s="19"/>
      <c r="B46" s="19"/>
      <c r="C46" s="19"/>
      <c r="D46" s="19"/>
      <c r="E46" s="19"/>
      <c r="F46" s="19"/>
      <c r="G46" s="19"/>
    </row>
    <row r="47" spans="1:7">
      <c r="A47" s="19"/>
      <c r="B47" s="19"/>
      <c r="C47" s="19"/>
      <c r="D47" s="19"/>
      <c r="E47" s="19"/>
      <c r="F47" s="19"/>
      <c r="G47" s="19"/>
    </row>
    <row r="48" spans="1:7">
      <c r="A48" s="19"/>
      <c r="B48" s="19"/>
      <c r="C48" s="19"/>
      <c r="D48" s="19"/>
      <c r="E48" s="19"/>
      <c r="F48" s="19"/>
      <c r="G48" s="19"/>
    </row>
    <row r="49" spans="1:7">
      <c r="A49" s="19"/>
      <c r="B49" s="19"/>
      <c r="C49" s="19"/>
      <c r="D49" s="19"/>
      <c r="E49" s="19"/>
      <c r="F49" s="19"/>
      <c r="G49" s="19"/>
    </row>
    <row r="50" spans="1:7">
      <c r="A50" s="19"/>
      <c r="B50" s="19"/>
      <c r="C50" s="19"/>
      <c r="D50" s="19"/>
      <c r="E50" s="19"/>
      <c r="F50" s="19"/>
      <c r="G50" s="19"/>
    </row>
    <row r="51" spans="1:7">
      <c r="A51" s="19"/>
      <c r="B51" s="19"/>
      <c r="C51" s="19"/>
      <c r="D51" s="19"/>
      <c r="E51" s="19"/>
      <c r="F51" s="19"/>
      <c r="G51" s="19"/>
    </row>
    <row r="52" spans="1:7">
      <c r="A52" s="19"/>
      <c r="B52" s="19"/>
      <c r="C52" s="19"/>
      <c r="D52" s="19"/>
      <c r="E52" s="19"/>
      <c r="F52" s="19"/>
      <c r="G52" s="19"/>
    </row>
    <row r="53" spans="1:7">
      <c r="A53" s="19"/>
      <c r="B53" s="19"/>
      <c r="C53" s="19"/>
      <c r="D53" s="19"/>
      <c r="E53" s="19"/>
      <c r="F53" s="19"/>
      <c r="G53" s="19"/>
    </row>
    <row r="54" spans="1:7">
      <c r="A54" s="19"/>
      <c r="B54" s="19"/>
      <c r="C54" s="19"/>
      <c r="D54" s="19"/>
      <c r="E54" s="19"/>
      <c r="F54" s="19"/>
      <c r="G54" s="19"/>
    </row>
    <row r="55" spans="1:7">
      <c r="A55" s="19"/>
      <c r="B55" s="19"/>
      <c r="C55" s="19"/>
      <c r="D55" s="19"/>
      <c r="E55" s="19"/>
      <c r="F55" s="19"/>
      <c r="G55" s="19"/>
    </row>
    <row r="56" spans="1:7">
      <c r="A56" s="19"/>
      <c r="B56" s="19"/>
      <c r="C56" s="19"/>
      <c r="D56" s="19"/>
      <c r="E56" s="19"/>
      <c r="F56" s="19"/>
      <c r="G56" s="19"/>
    </row>
    <row r="57" spans="1:7">
      <c r="A57" s="19"/>
      <c r="B57" s="19"/>
      <c r="C57" s="19"/>
      <c r="D57" s="19"/>
      <c r="E57" s="19"/>
      <c r="F57" s="19"/>
      <c r="G57" s="19"/>
    </row>
    <row r="58" spans="1:7">
      <c r="A58" s="19"/>
      <c r="B58" s="19"/>
      <c r="C58" s="19"/>
      <c r="D58" s="19"/>
      <c r="E58" s="19"/>
      <c r="F58" s="19"/>
      <c r="G58" s="19"/>
    </row>
    <row r="59" spans="1:7">
      <c r="A59" s="19"/>
      <c r="B59" s="19"/>
      <c r="C59" s="19"/>
      <c r="D59" s="19"/>
      <c r="E59" s="19"/>
      <c r="F59" s="19"/>
      <c r="G59" s="19"/>
    </row>
    <row r="60" spans="1:7">
      <c r="A60" s="19"/>
      <c r="B60" s="19"/>
      <c r="C60" s="19"/>
      <c r="D60" s="19"/>
      <c r="E60" s="19"/>
      <c r="F60" s="19"/>
      <c r="G60" s="19"/>
    </row>
    <row r="61" spans="1:7">
      <c r="A61" s="19"/>
      <c r="B61" s="19"/>
      <c r="C61" s="19"/>
      <c r="D61" s="19"/>
      <c r="E61" s="19"/>
      <c r="F61" s="19"/>
      <c r="G61" s="19"/>
    </row>
    <row r="62" spans="1:7">
      <c r="A62" s="19"/>
      <c r="B62" s="19"/>
      <c r="C62" s="19"/>
      <c r="D62" s="19"/>
      <c r="E62" s="19"/>
      <c r="F62" s="19"/>
      <c r="G62" s="19"/>
    </row>
    <row r="63" spans="1:7">
      <c r="A63" s="19"/>
      <c r="B63" s="19"/>
      <c r="C63" s="19"/>
      <c r="D63" s="19"/>
      <c r="E63" s="19"/>
      <c r="F63" s="19"/>
      <c r="G63" s="19"/>
    </row>
    <row r="64" spans="1:7">
      <c r="A64" s="19"/>
      <c r="B64" s="19"/>
      <c r="C64" s="19"/>
      <c r="D64" s="19"/>
      <c r="E64" s="19"/>
      <c r="F64" s="19"/>
      <c r="G64" s="19"/>
    </row>
    <row r="65" spans="1:7">
      <c r="A65" s="19"/>
      <c r="B65" s="19"/>
      <c r="C65" s="19"/>
      <c r="D65" s="19"/>
      <c r="E65" s="19"/>
      <c r="F65" s="19"/>
      <c r="G65" s="19"/>
    </row>
    <row r="66" spans="1:7">
      <c r="A66" s="19"/>
      <c r="B66" s="19"/>
      <c r="C66" s="19"/>
      <c r="D66" s="19"/>
      <c r="E66" s="19"/>
      <c r="F66" s="19"/>
      <c r="G66" s="19"/>
    </row>
    <row r="67" spans="1:7">
      <c r="A67" s="19"/>
      <c r="B67" s="19"/>
      <c r="C67" s="19"/>
      <c r="D67" s="19"/>
      <c r="E67" s="19"/>
      <c r="F67" s="19"/>
      <c r="G67" s="19"/>
    </row>
    <row r="68" spans="1:7">
      <c r="A68" s="19"/>
      <c r="B68" s="19"/>
      <c r="C68" s="19"/>
      <c r="D68" s="19"/>
      <c r="E68" s="19"/>
      <c r="F68" s="19"/>
      <c r="G68" s="19"/>
    </row>
    <row r="69" spans="1:7">
      <c r="A69" s="19"/>
      <c r="B69" s="19"/>
      <c r="C69" s="19"/>
      <c r="D69" s="19"/>
      <c r="E69" s="19"/>
      <c r="F69" s="19"/>
      <c r="G69" s="19"/>
    </row>
    <row r="70" spans="1:7">
      <c r="A70" s="19"/>
      <c r="B70" s="19"/>
      <c r="C70" s="19"/>
      <c r="D70" s="19"/>
      <c r="E70" s="19"/>
      <c r="F70" s="19"/>
      <c r="G70" s="19"/>
    </row>
    <row r="71" spans="1:7">
      <c r="A71" s="19"/>
      <c r="B71" s="19"/>
      <c r="C71" s="19"/>
      <c r="D71" s="19"/>
      <c r="E71" s="19"/>
      <c r="F71" s="19"/>
      <c r="G71" s="19"/>
    </row>
    <row r="72" spans="1:7">
      <c r="A72" s="19"/>
      <c r="B72" s="19"/>
      <c r="C72" s="19"/>
      <c r="D72" s="19"/>
      <c r="E72" s="19"/>
      <c r="F72" s="19"/>
      <c r="G72" s="19"/>
    </row>
    <row r="73" spans="1:7">
      <c r="A73" s="19"/>
      <c r="B73" s="19"/>
      <c r="C73" s="19"/>
      <c r="D73" s="19"/>
      <c r="E73" s="19"/>
      <c r="F73" s="19"/>
      <c r="G73" s="19"/>
    </row>
    <row r="74" spans="1:7">
      <c r="A74" s="19"/>
      <c r="B74" s="19"/>
      <c r="C74" s="19"/>
      <c r="D74" s="19"/>
      <c r="E74" s="19"/>
      <c r="F74" s="19"/>
      <c r="G74" s="19"/>
    </row>
    <row r="75" spans="1:7">
      <c r="A75" s="19"/>
      <c r="B75" s="19"/>
      <c r="C75" s="19"/>
      <c r="D75" s="19"/>
      <c r="E75" s="19"/>
      <c r="F75" s="19"/>
      <c r="G75" s="19"/>
    </row>
    <row r="76" spans="1:7">
      <c r="A76" s="19"/>
      <c r="B76" s="19"/>
      <c r="C76" s="19"/>
      <c r="D76" s="19"/>
      <c r="E76" s="19"/>
      <c r="F76" s="19"/>
      <c r="G76" s="19"/>
    </row>
    <row r="77" spans="1:7">
      <c r="A77" s="19"/>
      <c r="B77" s="19"/>
      <c r="C77" s="19"/>
      <c r="D77" s="19"/>
      <c r="E77" s="19"/>
      <c r="F77" s="19"/>
      <c r="G77" s="19"/>
    </row>
    <row r="78" spans="1:7">
      <c r="A78" s="19"/>
      <c r="B78" s="19"/>
      <c r="C78" s="19"/>
      <c r="D78" s="19"/>
      <c r="E78" s="19"/>
      <c r="F78" s="19"/>
      <c r="G78" s="19"/>
    </row>
    <row r="79" spans="1:7">
      <c r="A79" s="19"/>
      <c r="B79" s="19"/>
      <c r="C79" s="19"/>
      <c r="D79" s="19"/>
      <c r="E79" s="19"/>
      <c r="F79" s="19"/>
      <c r="G79" s="19"/>
    </row>
    <row r="80" spans="1:7">
      <c r="A80" s="19"/>
      <c r="B80" s="19"/>
      <c r="C80" s="19"/>
      <c r="D80" s="19"/>
      <c r="E80" s="19"/>
      <c r="F80" s="19"/>
      <c r="G80" s="19"/>
    </row>
    <row r="81" spans="1:7">
      <c r="A81" s="19"/>
      <c r="B81" s="19"/>
      <c r="C81" s="19"/>
      <c r="D81" s="19"/>
      <c r="E81" s="19"/>
      <c r="F81" s="19"/>
      <c r="G81" s="19"/>
    </row>
    <row r="82" spans="1:7">
      <c r="A82" s="19"/>
      <c r="B82" s="19"/>
      <c r="C82" s="19"/>
      <c r="D82" s="19"/>
      <c r="E82" s="19"/>
      <c r="F82" s="19"/>
      <c r="G82" s="19"/>
    </row>
    <row r="83" spans="1:7">
      <c r="A83" s="19"/>
      <c r="B83" s="19"/>
      <c r="C83" s="19"/>
      <c r="D83" s="19"/>
      <c r="E83" s="19"/>
      <c r="F83" s="19"/>
      <c r="G83" s="19"/>
    </row>
    <row r="84" spans="1:7">
      <c r="A84" s="19"/>
      <c r="B84" s="19"/>
      <c r="C84" s="19"/>
      <c r="D84" s="19"/>
      <c r="E84" s="19"/>
      <c r="F84" s="19"/>
      <c r="G84" s="19"/>
    </row>
    <row r="85" spans="1:7">
      <c r="A85" s="19"/>
      <c r="B85" s="19"/>
      <c r="C85" s="19"/>
      <c r="D85" s="19"/>
      <c r="E85" s="19"/>
      <c r="F85" s="19"/>
      <c r="G85" s="19"/>
    </row>
    <row r="86" spans="1:7">
      <c r="A86" s="19"/>
      <c r="B86" s="19"/>
      <c r="C86" s="19"/>
      <c r="D86" s="19"/>
      <c r="E86" s="19"/>
      <c r="F86" s="19"/>
      <c r="G86" s="19"/>
    </row>
    <row r="87" spans="1:7">
      <c r="A87" s="19"/>
      <c r="B87" s="19"/>
      <c r="C87" s="19"/>
      <c r="D87" s="19"/>
      <c r="E87" s="19"/>
      <c r="F87" s="19"/>
      <c r="G87" s="19"/>
    </row>
    <row r="88" spans="1:7">
      <c r="A88" s="19"/>
      <c r="B88" s="19"/>
      <c r="C88" s="19"/>
      <c r="D88" s="19"/>
      <c r="E88" s="19"/>
      <c r="F88" s="19"/>
      <c r="G88" s="19"/>
    </row>
    <row r="89" spans="1:7">
      <c r="A89" s="19"/>
      <c r="B89" s="19"/>
      <c r="C89" s="19"/>
      <c r="D89" s="19"/>
      <c r="E89" s="19"/>
      <c r="F89" s="19"/>
      <c r="G89" s="19"/>
    </row>
    <row r="90" spans="1:7">
      <c r="A90" s="19"/>
      <c r="B90" s="19"/>
      <c r="C90" s="19"/>
      <c r="D90" s="19"/>
      <c r="E90" s="19"/>
      <c r="F90" s="19"/>
      <c r="G90" s="19"/>
    </row>
    <row r="91" spans="1:7">
      <c r="A91" s="19"/>
      <c r="B91" s="19"/>
      <c r="C91" s="19"/>
      <c r="D91" s="19"/>
      <c r="E91" s="19"/>
      <c r="F91" s="19"/>
      <c r="G91" s="19"/>
    </row>
    <row r="92" spans="1:7">
      <c r="A92" s="19"/>
      <c r="B92" s="19"/>
      <c r="C92" s="19"/>
      <c r="D92" s="19"/>
      <c r="E92" s="19"/>
      <c r="F92" s="19"/>
      <c r="G92" s="19"/>
    </row>
    <row r="93" spans="1:7">
      <c r="A93" s="19"/>
      <c r="B93" s="19"/>
      <c r="C93" s="19"/>
      <c r="D93" s="19"/>
      <c r="E93" s="19"/>
      <c r="F93" s="19"/>
      <c r="G93" s="19"/>
    </row>
    <row r="94" spans="1:7">
      <c r="A94" s="19"/>
      <c r="B94" s="19"/>
      <c r="C94" s="19"/>
      <c r="D94" s="19"/>
      <c r="E94" s="19"/>
      <c r="F94" s="19"/>
      <c r="G94" s="19"/>
    </row>
    <row r="95" spans="1:7">
      <c r="A95" s="19"/>
      <c r="B95" s="19"/>
      <c r="C95" s="19"/>
      <c r="D95" s="19"/>
      <c r="E95" s="19"/>
      <c r="F95" s="19"/>
      <c r="G95" s="19"/>
    </row>
    <row r="96" spans="1:7">
      <c r="A96" s="19"/>
      <c r="B96" s="19"/>
      <c r="C96" s="19"/>
      <c r="D96" s="19"/>
      <c r="E96" s="19"/>
      <c r="F96" s="19"/>
      <c r="G96" s="19"/>
    </row>
    <row r="97" spans="1:7">
      <c r="A97" s="19"/>
      <c r="B97" s="19"/>
      <c r="C97" s="19"/>
      <c r="D97" s="19"/>
      <c r="E97" s="19"/>
      <c r="F97" s="19"/>
      <c r="G97" s="19"/>
    </row>
    <row r="98" spans="1:7">
      <c r="A98" s="19"/>
      <c r="B98" s="19"/>
      <c r="C98" s="19"/>
      <c r="D98" s="19"/>
      <c r="E98" s="19"/>
      <c r="F98" s="19"/>
      <c r="G98" s="19"/>
    </row>
    <row r="99" spans="1:7">
      <c r="A99" s="19"/>
      <c r="B99" s="19"/>
      <c r="C99" s="19"/>
      <c r="D99" s="19"/>
      <c r="E99" s="19"/>
      <c r="F99" s="19"/>
      <c r="G99" s="19"/>
    </row>
    <row r="100" spans="1:7">
      <c r="A100" s="19"/>
      <c r="B100" s="19"/>
      <c r="C100" s="19"/>
      <c r="D100" s="19"/>
      <c r="E100" s="19"/>
      <c r="F100" s="19"/>
      <c r="G100" s="19"/>
    </row>
    <row r="101" spans="1:7">
      <c r="A101" s="19"/>
      <c r="B101" s="19"/>
      <c r="C101" s="19"/>
      <c r="D101" s="19"/>
      <c r="E101" s="19"/>
      <c r="F101" s="19"/>
      <c r="G101" s="19"/>
    </row>
    <row r="102" spans="1:7">
      <c r="A102" s="19"/>
      <c r="B102" s="19"/>
      <c r="C102" s="19"/>
      <c r="D102" s="19"/>
      <c r="E102" s="19"/>
      <c r="F102" s="19"/>
      <c r="G102" s="19"/>
    </row>
    <row r="103" spans="1:7">
      <c r="A103" s="19"/>
      <c r="B103" s="19"/>
      <c r="C103" s="19"/>
      <c r="D103" s="19"/>
      <c r="E103" s="19"/>
      <c r="F103" s="19"/>
      <c r="G103" s="19"/>
    </row>
    <row r="104" spans="1:7">
      <c r="A104" s="19"/>
      <c r="B104" s="19"/>
      <c r="C104" s="19"/>
      <c r="D104" s="19"/>
      <c r="E104" s="19"/>
      <c r="F104" s="19"/>
      <c r="G104" s="19"/>
    </row>
    <row r="105" spans="1:7">
      <c r="A105" s="19"/>
      <c r="B105" s="19"/>
      <c r="C105" s="19"/>
      <c r="D105" s="19"/>
      <c r="E105" s="19"/>
      <c r="F105" s="19"/>
      <c r="G105" s="19"/>
    </row>
    <row r="106" spans="1:7">
      <c r="A106" s="19"/>
      <c r="B106" s="19"/>
      <c r="C106" s="19"/>
      <c r="D106" s="19"/>
      <c r="E106" s="19"/>
      <c r="F106" s="19"/>
      <c r="G106" s="19"/>
    </row>
    <row r="107" spans="1:7">
      <c r="A107" s="19"/>
      <c r="B107" s="19"/>
      <c r="C107" s="19"/>
      <c r="D107" s="19"/>
      <c r="E107" s="19"/>
      <c r="F107" s="19"/>
      <c r="G107" s="19"/>
    </row>
    <row r="108" spans="1:7">
      <c r="A108" s="19"/>
      <c r="B108" s="19"/>
      <c r="C108" s="19"/>
      <c r="D108" s="19"/>
      <c r="E108" s="19"/>
      <c r="F108" s="19"/>
      <c r="G108" s="19"/>
    </row>
    <row r="109" spans="1:7">
      <c r="A109" s="19"/>
      <c r="B109" s="19"/>
      <c r="C109" s="19"/>
      <c r="D109" s="19"/>
      <c r="E109" s="19"/>
      <c r="F109" s="19"/>
      <c r="G109" s="19"/>
    </row>
    <row r="110" spans="1:7">
      <c r="A110" s="19"/>
      <c r="B110" s="19"/>
      <c r="C110" s="19"/>
      <c r="D110" s="19"/>
      <c r="E110" s="19"/>
      <c r="F110" s="19"/>
      <c r="G110" s="19"/>
    </row>
    <row r="111" spans="1:7">
      <c r="A111" s="19"/>
      <c r="B111" s="19"/>
      <c r="C111" s="19"/>
      <c r="D111" s="19"/>
      <c r="E111" s="19"/>
      <c r="F111" s="19"/>
      <c r="G111" s="19"/>
    </row>
    <row r="112" spans="1:7">
      <c r="A112" s="19"/>
      <c r="B112" s="19"/>
      <c r="C112" s="19"/>
      <c r="D112" s="19"/>
      <c r="E112" s="19"/>
      <c r="F112" s="19"/>
      <c r="G112" s="19"/>
    </row>
    <row r="113" spans="1:7">
      <c r="A113" s="19"/>
      <c r="B113" s="19"/>
      <c r="C113" s="19"/>
      <c r="D113" s="19"/>
      <c r="E113" s="19"/>
      <c r="F113" s="19"/>
      <c r="G113" s="19"/>
    </row>
    <row r="114" spans="1:7">
      <c r="A114" s="19"/>
      <c r="B114" s="19"/>
      <c r="C114" s="19"/>
      <c r="D114" s="19"/>
      <c r="E114" s="19"/>
      <c r="F114" s="19"/>
      <c r="G114" s="19"/>
    </row>
    <row r="115" spans="1:7">
      <c r="A115" s="19"/>
      <c r="B115" s="19"/>
      <c r="C115" s="19"/>
      <c r="D115" s="19"/>
      <c r="E115" s="19"/>
      <c r="F115" s="19"/>
      <c r="G115" s="19"/>
    </row>
    <row r="116" spans="1:7">
      <c r="A116" s="19"/>
      <c r="B116" s="19"/>
      <c r="C116" s="19"/>
      <c r="D116" s="19"/>
      <c r="E116" s="19"/>
      <c r="F116" s="19"/>
      <c r="G116" s="19"/>
    </row>
    <row r="117" spans="1:7">
      <c r="A117" s="19"/>
      <c r="B117" s="19"/>
      <c r="C117" s="19"/>
      <c r="D117" s="19"/>
      <c r="E117" s="19"/>
      <c r="F117" s="19"/>
      <c r="G117" s="19"/>
    </row>
    <row r="118" spans="1:7">
      <c r="A118" s="19"/>
      <c r="B118" s="19"/>
      <c r="C118" s="19"/>
      <c r="D118" s="19"/>
      <c r="E118" s="19"/>
      <c r="F118" s="19"/>
      <c r="G118" s="19"/>
    </row>
    <row r="119" spans="1:7">
      <c r="A119" s="19"/>
      <c r="B119" s="19"/>
      <c r="C119" s="19"/>
      <c r="D119" s="19"/>
      <c r="E119" s="19"/>
      <c r="F119" s="19"/>
      <c r="G119" s="19"/>
    </row>
    <row r="120" spans="1:7">
      <c r="A120" s="19"/>
      <c r="B120" s="19"/>
      <c r="C120" s="19"/>
      <c r="D120" s="19"/>
      <c r="E120" s="19"/>
      <c r="F120" s="19"/>
      <c r="G120" s="19"/>
    </row>
    <row r="121" spans="1:7">
      <c r="A121" s="19"/>
      <c r="B121" s="19"/>
      <c r="C121" s="19"/>
      <c r="D121" s="19"/>
      <c r="E121" s="19"/>
      <c r="F121" s="19"/>
      <c r="G121" s="19"/>
    </row>
    <row r="122" spans="1:7">
      <c r="A122" s="19"/>
      <c r="B122" s="19"/>
      <c r="C122" s="19"/>
      <c r="D122" s="19"/>
      <c r="E122" s="19"/>
      <c r="F122" s="19"/>
      <c r="G122" s="19"/>
    </row>
    <row r="123" spans="1:7">
      <c r="A123" s="19"/>
      <c r="B123" s="19"/>
      <c r="C123" s="19"/>
      <c r="D123" s="19"/>
      <c r="E123" s="19"/>
      <c r="F123" s="19"/>
      <c r="G123" s="19"/>
    </row>
    <row r="124" spans="1:7">
      <c r="A124" s="19"/>
      <c r="B124" s="19"/>
      <c r="C124" s="19"/>
      <c r="D124" s="19"/>
      <c r="E124" s="19"/>
      <c r="F124" s="19"/>
      <c r="G124" s="19"/>
    </row>
    <row r="125" spans="1:7">
      <c r="A125" s="19"/>
      <c r="B125" s="19"/>
      <c r="C125" s="19"/>
      <c r="D125" s="19"/>
      <c r="E125" s="19"/>
      <c r="F125" s="19"/>
      <c r="G125" s="19"/>
    </row>
    <row r="126" spans="1:7">
      <c r="A126" s="19"/>
      <c r="B126" s="19"/>
      <c r="C126" s="19"/>
      <c r="D126" s="19"/>
      <c r="E126" s="19"/>
      <c r="F126" s="19"/>
      <c r="G126" s="19"/>
    </row>
    <row r="127" spans="1:7">
      <c r="A127" s="19"/>
      <c r="B127" s="19"/>
      <c r="C127" s="19"/>
      <c r="D127" s="19"/>
      <c r="E127" s="19"/>
      <c r="F127" s="19"/>
      <c r="G127" s="19"/>
    </row>
    <row r="128" spans="1:7">
      <c r="A128" s="19"/>
      <c r="B128" s="19"/>
      <c r="C128" s="19"/>
      <c r="D128" s="19"/>
      <c r="E128" s="19"/>
      <c r="F128" s="19"/>
      <c r="G128" s="19"/>
    </row>
    <row r="129" spans="1:7">
      <c r="A129" s="19"/>
      <c r="B129" s="19"/>
      <c r="C129" s="19"/>
      <c r="D129" s="19"/>
      <c r="E129" s="19"/>
      <c r="F129" s="19"/>
      <c r="G129" s="19"/>
    </row>
    <row r="130" spans="1:7">
      <c r="A130" s="19"/>
      <c r="B130" s="19"/>
      <c r="C130" s="19"/>
      <c r="D130" s="19"/>
      <c r="E130" s="19"/>
      <c r="F130" s="19"/>
      <c r="G130" s="19"/>
    </row>
    <row r="131" spans="1:7">
      <c r="A131" s="19"/>
      <c r="B131" s="19"/>
      <c r="C131" s="19"/>
      <c r="D131" s="19"/>
      <c r="E131" s="19"/>
      <c r="F131" s="19"/>
      <c r="G131" s="19"/>
    </row>
    <row r="132" spans="1:7">
      <c r="A132" s="19"/>
      <c r="B132" s="19"/>
      <c r="C132" s="19"/>
      <c r="D132" s="19"/>
      <c r="E132" s="19"/>
      <c r="F132" s="19"/>
      <c r="G132" s="19"/>
    </row>
    <row r="133" spans="1:7">
      <c r="A133" s="19"/>
      <c r="B133" s="19"/>
      <c r="C133" s="19"/>
      <c r="D133" s="19"/>
      <c r="E133" s="19"/>
      <c r="F133" s="19"/>
      <c r="G133" s="19"/>
    </row>
    <row r="134" spans="1:7">
      <c r="A134" s="19"/>
      <c r="B134" s="19"/>
      <c r="C134" s="19"/>
      <c r="D134" s="19"/>
      <c r="E134" s="19"/>
      <c r="F134" s="19"/>
      <c r="G134" s="19"/>
    </row>
    <row r="135" spans="1:7">
      <c r="A135" s="19"/>
      <c r="B135" s="19"/>
      <c r="C135" s="19"/>
      <c r="D135" s="19"/>
      <c r="E135" s="19"/>
      <c r="F135" s="19"/>
      <c r="G135" s="19"/>
    </row>
    <row r="136" spans="1:7">
      <c r="A136" s="19"/>
      <c r="B136" s="19"/>
      <c r="C136" s="19"/>
      <c r="D136" s="19"/>
      <c r="E136" s="19"/>
      <c r="F136" s="19"/>
      <c r="G136" s="19"/>
    </row>
    <row r="137" spans="1:7">
      <c r="A137" s="19"/>
      <c r="B137" s="19"/>
      <c r="C137" s="19"/>
      <c r="D137" s="19"/>
      <c r="E137" s="19"/>
      <c r="F137" s="19"/>
      <c r="G137" s="19"/>
    </row>
    <row r="138" spans="1:7">
      <c r="A138" s="19"/>
      <c r="B138" s="19"/>
      <c r="C138" s="19"/>
      <c r="D138" s="19"/>
      <c r="E138" s="19"/>
      <c r="F138" s="19"/>
      <c r="G138" s="19"/>
    </row>
    <row r="139" spans="1:7">
      <c r="A139" s="19"/>
      <c r="B139" s="19"/>
      <c r="C139" s="19"/>
      <c r="D139" s="19"/>
      <c r="E139" s="19"/>
      <c r="F139" s="19"/>
      <c r="G139" s="19"/>
    </row>
    <row r="140" spans="1:7">
      <c r="A140" s="19"/>
      <c r="B140" s="19"/>
      <c r="C140" s="19"/>
      <c r="D140" s="19"/>
      <c r="E140" s="19"/>
      <c r="F140" s="19"/>
      <c r="G140" s="19"/>
    </row>
    <row r="141" spans="1:7">
      <c r="A141" s="19"/>
      <c r="B141" s="19"/>
      <c r="C141" s="19"/>
      <c r="D141" s="19"/>
      <c r="E141" s="19"/>
      <c r="F141" s="19"/>
      <c r="G141" s="19"/>
    </row>
    <row r="142" spans="1:7">
      <c r="A142" s="19"/>
      <c r="B142" s="19"/>
      <c r="C142" s="19"/>
      <c r="D142" s="19"/>
      <c r="E142" s="19"/>
      <c r="F142" s="19"/>
      <c r="G142" s="19"/>
    </row>
    <row r="143" spans="1:7">
      <c r="A143" s="19"/>
      <c r="B143" s="19"/>
      <c r="C143" s="19"/>
      <c r="D143" s="19"/>
      <c r="E143" s="19"/>
      <c r="F143" s="19"/>
      <c r="G143" s="19"/>
    </row>
    <row r="144" spans="1:7">
      <c r="A144" s="19"/>
      <c r="B144" s="19"/>
      <c r="C144" s="19"/>
      <c r="D144" s="19"/>
      <c r="E144" s="19"/>
      <c r="F144" s="19"/>
      <c r="G144" s="19"/>
    </row>
    <row r="145" spans="1:7">
      <c r="A145" s="19"/>
      <c r="B145" s="19"/>
      <c r="C145" s="19"/>
      <c r="D145" s="19"/>
      <c r="E145" s="19"/>
      <c r="F145" s="19"/>
      <c r="G145" s="19"/>
    </row>
    <row r="146" spans="1:7">
      <c r="A146" s="19"/>
      <c r="B146" s="19"/>
      <c r="C146" s="19"/>
      <c r="D146" s="19"/>
      <c r="E146" s="19"/>
      <c r="F146" s="19"/>
      <c r="G146" s="19"/>
    </row>
    <row r="147" spans="1:7">
      <c r="A147" s="19"/>
      <c r="B147" s="19"/>
      <c r="C147" s="19"/>
      <c r="D147" s="19"/>
      <c r="E147" s="19"/>
      <c r="F147" s="19"/>
      <c r="G147" s="19"/>
    </row>
    <row r="148" spans="1:7">
      <c r="A148" s="19"/>
      <c r="B148" s="19"/>
      <c r="C148" s="19"/>
      <c r="D148" s="19"/>
      <c r="E148" s="19"/>
      <c r="F148" s="19"/>
      <c r="G148" s="19"/>
    </row>
    <row r="149" spans="1:7">
      <c r="A149" s="19"/>
      <c r="B149" s="19"/>
      <c r="C149" s="19"/>
      <c r="D149" s="19"/>
      <c r="E149" s="19"/>
      <c r="F149" s="19"/>
      <c r="G149" s="19"/>
    </row>
  </sheetData>
  <sheetProtection password="CF95" sheet="1" objects="1" scenarios="1"/>
  <mergeCells count="2">
    <mergeCell ref="A14:B14"/>
    <mergeCell ref="A9:G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O50"/>
  <sheetViews>
    <sheetView tabSelected="1" topLeftCell="A19" zoomScale="60" zoomScaleNormal="60" workbookViewId="0">
      <selection activeCell="K56" sqref="K56"/>
    </sheetView>
  </sheetViews>
  <sheetFormatPr baseColWidth="10" defaultRowHeight="15"/>
  <cols>
    <col min="7" max="7" width="18.5703125" customWidth="1"/>
    <col min="12" max="12" width="6.42578125" customWidth="1"/>
    <col min="13" max="13" width="14" customWidth="1"/>
    <col min="14" max="14" width="9.7109375" customWidth="1"/>
    <col min="15" max="15" width="10.28515625" customWidth="1"/>
  </cols>
  <sheetData>
    <row r="1" spans="2:15">
      <c r="D1" s="2"/>
      <c r="E1" s="2"/>
      <c r="F1" s="2"/>
      <c r="G1" s="2"/>
      <c r="H1" s="1"/>
      <c r="I1" s="1"/>
      <c r="J1" s="1"/>
      <c r="K1" s="1"/>
      <c r="L1" s="1"/>
      <c r="M1" s="1"/>
      <c r="N1" s="1"/>
      <c r="O1" s="1"/>
    </row>
    <row r="2" spans="2:15" ht="15" customHeight="1">
      <c r="D2" s="2"/>
      <c r="E2" s="2"/>
      <c r="F2" s="2"/>
      <c r="G2" s="2"/>
      <c r="H2" s="1"/>
      <c r="I2" s="955" t="s">
        <v>198</v>
      </c>
      <c r="J2" s="955"/>
      <c r="K2" s="955"/>
      <c r="L2" s="955"/>
      <c r="M2" s="955"/>
      <c r="N2" s="955"/>
      <c r="O2" s="955"/>
    </row>
    <row r="3" spans="2:15" ht="15" customHeight="1">
      <c r="D3" s="2"/>
      <c r="E3" s="2"/>
      <c r="F3" s="2"/>
      <c r="G3" s="2"/>
      <c r="H3" s="1"/>
      <c r="I3" s="955"/>
      <c r="J3" s="955"/>
      <c r="K3" s="955"/>
      <c r="L3" s="955"/>
      <c r="M3" s="955"/>
      <c r="N3" s="955"/>
      <c r="O3" s="955"/>
    </row>
    <row r="4" spans="2:15" ht="15" customHeight="1">
      <c r="D4" s="2"/>
      <c r="E4" s="2"/>
      <c r="F4" s="2"/>
      <c r="G4" s="2"/>
      <c r="H4" s="5"/>
      <c r="I4" s="955"/>
      <c r="J4" s="955"/>
      <c r="K4" s="955"/>
      <c r="L4" s="955"/>
      <c r="M4" s="955"/>
      <c r="N4" s="955"/>
      <c r="O4" s="955"/>
    </row>
    <row r="5" spans="2:15" ht="15" customHeight="1">
      <c r="D5" s="2"/>
      <c r="E5" s="2"/>
      <c r="F5" s="2"/>
      <c r="G5" s="2"/>
      <c r="H5" s="5"/>
    </row>
    <row r="6" spans="2:15" ht="15" customHeight="1">
      <c r="D6" s="2"/>
      <c r="E6" s="2"/>
      <c r="F6" s="2"/>
      <c r="G6" s="2"/>
      <c r="H6" s="5"/>
    </row>
    <row r="7" spans="2:15" ht="15" customHeight="1">
      <c r="D7" s="2"/>
      <c r="E7" s="2"/>
      <c r="F7" s="2"/>
      <c r="G7" s="2"/>
      <c r="H7" s="5"/>
    </row>
    <row r="8" spans="2:15" ht="15" customHeight="1">
      <c r="B8" s="971" t="s">
        <v>199</v>
      </c>
      <c r="C8" s="971"/>
      <c r="D8" s="971"/>
      <c r="E8" s="971"/>
      <c r="F8" s="971"/>
      <c r="G8" s="2"/>
      <c r="H8" s="5"/>
    </row>
    <row r="9" spans="2:15" ht="15" customHeight="1">
      <c r="B9" s="971"/>
      <c r="C9" s="971"/>
      <c r="D9" s="971"/>
      <c r="E9" s="971"/>
      <c r="F9" s="971"/>
      <c r="G9" s="2"/>
      <c r="H9" s="5"/>
    </row>
    <row r="10" spans="2:15" ht="15" customHeight="1">
      <c r="B10" s="971"/>
      <c r="C10" s="971"/>
      <c r="D10" s="971"/>
      <c r="E10" s="971"/>
      <c r="F10" s="971"/>
      <c r="G10" s="2"/>
      <c r="H10" s="5"/>
    </row>
    <row r="11" spans="2:15" ht="15" customHeight="1">
      <c r="B11" s="971"/>
      <c r="C11" s="971"/>
      <c r="D11" s="971"/>
      <c r="E11" s="971"/>
      <c r="F11" s="971"/>
      <c r="G11" s="2"/>
      <c r="H11" s="5"/>
    </row>
    <row r="12" spans="2:15" ht="15" customHeight="1">
      <c r="B12" s="971"/>
      <c r="C12" s="971"/>
      <c r="D12" s="971"/>
      <c r="E12" s="971"/>
      <c r="F12" s="971"/>
      <c r="G12" s="2"/>
      <c r="H12" s="5"/>
    </row>
    <row r="13" spans="2:15" ht="15" customHeight="1">
      <c r="D13" s="2"/>
      <c r="E13" s="2"/>
      <c r="F13" s="2"/>
      <c r="G13" s="2"/>
      <c r="H13" s="5"/>
    </row>
    <row r="14" spans="2:15" ht="15" customHeight="1" thickBot="1">
      <c r="D14" s="2"/>
      <c r="E14" s="2"/>
      <c r="F14" s="2"/>
      <c r="G14" s="2"/>
      <c r="H14" s="5"/>
    </row>
    <row r="15" spans="2:15" ht="15" customHeight="1">
      <c r="C15" s="956" t="str">
        <f>IF(ISBLANK(Présentation!B9),"",Présentation!B9)</f>
        <v/>
      </c>
      <c r="D15" s="957"/>
      <c r="E15" s="957"/>
      <c r="F15" s="957"/>
      <c r="G15" s="958"/>
      <c r="H15" s="124"/>
      <c r="I15" s="965" t="s">
        <v>200</v>
      </c>
      <c r="J15" s="966"/>
      <c r="K15" s="967" t="str">
        <f>IF(ISBLANK(Présentation!B12),"",Présentation!B12)</f>
        <v/>
      </c>
      <c r="L15" s="968"/>
      <c r="M15" s="968"/>
      <c r="N15" s="968"/>
      <c r="O15" s="969"/>
    </row>
    <row r="16" spans="2:15" ht="15" customHeight="1">
      <c r="C16" s="959"/>
      <c r="D16" s="960"/>
      <c r="E16" s="960"/>
      <c r="F16" s="960"/>
      <c r="G16" s="961"/>
      <c r="H16" s="124"/>
      <c r="I16" s="922"/>
      <c r="J16" s="923"/>
      <c r="K16" s="932"/>
      <c r="L16" s="933"/>
      <c r="M16" s="933"/>
      <c r="N16" s="933"/>
      <c r="O16" s="934"/>
    </row>
    <row r="17" spans="3:15" ht="15" customHeight="1">
      <c r="C17" s="959"/>
      <c r="D17" s="960"/>
      <c r="E17" s="960"/>
      <c r="F17" s="960"/>
      <c r="G17" s="961"/>
      <c r="H17" s="124"/>
      <c r="I17" s="922"/>
      <c r="J17" s="923"/>
      <c r="K17" s="947"/>
      <c r="L17" s="948"/>
      <c r="M17" s="948"/>
      <c r="N17" s="948"/>
      <c r="O17" s="970"/>
    </row>
    <row r="18" spans="3:15" ht="15" customHeight="1">
      <c r="C18" s="959"/>
      <c r="D18" s="960"/>
      <c r="E18" s="960"/>
      <c r="F18" s="960"/>
      <c r="G18" s="961"/>
      <c r="H18" s="124"/>
      <c r="I18" s="922" t="s">
        <v>201</v>
      </c>
      <c r="J18" s="923"/>
      <c r="K18" s="922" t="str">
        <f>IF(ISBLANK(Présentation!B15),"",Présentation!B15)</f>
        <v/>
      </c>
      <c r="L18" s="924"/>
      <c r="M18" s="924"/>
      <c r="N18" s="924"/>
      <c r="O18" s="925"/>
    </row>
    <row r="19" spans="3:15" ht="15" customHeight="1" thickBot="1">
      <c r="C19" s="962"/>
      <c r="D19" s="963"/>
      <c r="E19" s="963"/>
      <c r="F19" s="963"/>
      <c r="G19" s="964"/>
      <c r="H19" s="124"/>
      <c r="I19" s="922"/>
      <c r="J19" s="923"/>
      <c r="K19" s="922"/>
      <c r="L19" s="924"/>
      <c r="M19" s="924"/>
      <c r="N19" s="924"/>
      <c r="O19" s="925"/>
    </row>
    <row r="20" spans="3:15" ht="15" customHeight="1">
      <c r="D20" s="2"/>
      <c r="E20" s="2"/>
      <c r="F20" s="2"/>
      <c r="G20" s="2"/>
      <c r="H20" s="5"/>
      <c r="I20" s="922" t="s">
        <v>202</v>
      </c>
      <c r="J20" s="923"/>
      <c r="K20" s="922" t="str">
        <f>IF(ISBLANK(Présentation!B18),"",Présentation!B18)</f>
        <v/>
      </c>
      <c r="L20" s="924"/>
      <c r="M20" s="924"/>
      <c r="N20" s="924"/>
      <c r="O20" s="925"/>
    </row>
    <row r="21" spans="3:15" ht="15" customHeight="1">
      <c r="D21" s="2"/>
      <c r="E21" s="2"/>
      <c r="F21" s="2"/>
      <c r="G21" s="2"/>
      <c r="H21" s="5"/>
      <c r="I21" s="922"/>
      <c r="J21" s="923"/>
      <c r="K21" s="922"/>
      <c r="L21" s="924"/>
      <c r="M21" s="924"/>
      <c r="N21" s="924"/>
      <c r="O21" s="925"/>
    </row>
    <row r="22" spans="3:15" ht="15" customHeight="1">
      <c r="D22" s="2"/>
      <c r="E22" s="2"/>
      <c r="F22" s="2"/>
      <c r="G22" s="2"/>
      <c r="H22" s="5"/>
      <c r="I22" s="922" t="s">
        <v>203</v>
      </c>
      <c r="J22" s="923"/>
      <c r="K22" s="922" t="str">
        <f>IF(ISBLANK(Présentation!B21),"",Présentation!B21)</f>
        <v/>
      </c>
      <c r="L22" s="924"/>
      <c r="M22" s="924"/>
      <c r="N22" s="924"/>
      <c r="O22" s="925"/>
    </row>
    <row r="23" spans="3:15" ht="15" customHeight="1">
      <c r="D23" s="2"/>
      <c r="E23" s="2"/>
      <c r="F23" s="2"/>
      <c r="G23" s="2"/>
      <c r="H23" s="5"/>
      <c r="I23" s="922"/>
      <c r="J23" s="923"/>
      <c r="K23" s="922"/>
      <c r="L23" s="924"/>
      <c r="M23" s="924"/>
      <c r="N23" s="924"/>
      <c r="O23" s="925"/>
    </row>
    <row r="24" spans="3:15" ht="15" customHeight="1">
      <c r="D24" s="2"/>
      <c r="E24" s="2"/>
      <c r="F24" s="2"/>
      <c r="G24" s="2"/>
      <c r="H24" s="5"/>
      <c r="I24" s="922" t="s">
        <v>204</v>
      </c>
      <c r="J24" s="923"/>
      <c r="K24" s="939" t="str">
        <f>IF(ISBLANK(Présentation!B24),"",Présentation!B24)</f>
        <v/>
      </c>
      <c r="L24" s="940"/>
      <c r="M24" s="940"/>
      <c r="N24" s="940"/>
      <c r="O24" s="941"/>
    </row>
    <row r="25" spans="3:15" ht="15" customHeight="1">
      <c r="D25" s="2"/>
      <c r="E25" s="2"/>
      <c r="F25" s="2"/>
      <c r="G25" s="2"/>
      <c r="H25" s="5"/>
      <c r="I25" s="922"/>
      <c r="J25" s="923"/>
      <c r="K25" s="942"/>
      <c r="L25" s="943"/>
      <c r="M25" s="943"/>
      <c r="N25" s="943"/>
      <c r="O25" s="944"/>
    </row>
    <row r="26" spans="3:15" ht="15" customHeight="1">
      <c r="D26" s="2"/>
      <c r="E26" s="2"/>
      <c r="F26" s="2"/>
      <c r="G26" s="2"/>
      <c r="H26" s="5"/>
      <c r="I26" s="922" t="s">
        <v>205</v>
      </c>
      <c r="J26" s="923"/>
      <c r="K26" s="945" t="str">
        <f>IF(ISBLANK(Présentation!B27),"",Présentation!B27)</f>
        <v/>
      </c>
      <c r="L26" s="946"/>
      <c r="M26" s="949" t="str">
        <f>IF(Présentation!B27&lt;&gt;"Entreprise Individuelle","au capital de","")</f>
        <v>au capital de</v>
      </c>
      <c r="N26" s="951">
        <f>Présentation!B29</f>
        <v>0</v>
      </c>
      <c r="O26" s="953" t="str">
        <f>IF(Présentation!B27&lt;&gt;"Entreprise Individuelle","euros ","")</f>
        <v xml:space="preserve">euros </v>
      </c>
    </row>
    <row r="27" spans="3:15" ht="15" customHeight="1">
      <c r="D27" s="2"/>
      <c r="E27" s="2"/>
      <c r="F27" s="2"/>
      <c r="G27" s="2"/>
      <c r="H27" s="5"/>
      <c r="I27" s="922"/>
      <c r="J27" s="923"/>
      <c r="K27" s="947"/>
      <c r="L27" s="948"/>
      <c r="M27" s="950"/>
      <c r="N27" s="952"/>
      <c r="O27" s="954"/>
    </row>
    <row r="28" spans="3:15" ht="15" customHeight="1">
      <c r="D28" s="2"/>
      <c r="E28" s="2"/>
      <c r="F28" s="2"/>
      <c r="G28" s="2"/>
      <c r="H28" s="5"/>
      <c r="I28" s="922" t="s">
        <v>206</v>
      </c>
      <c r="J28" s="923"/>
      <c r="K28" s="922" t="str">
        <f>IF(ISBLANK(Présentation!B32),"",Présentation!B32)</f>
        <v/>
      </c>
      <c r="L28" s="924"/>
      <c r="M28" s="924"/>
      <c r="N28" s="924"/>
      <c r="O28" s="925"/>
    </row>
    <row r="29" spans="3:15" ht="15" customHeight="1">
      <c r="D29" s="2"/>
      <c r="E29" s="2"/>
      <c r="F29" s="2"/>
      <c r="G29" s="2"/>
      <c r="H29" s="5"/>
      <c r="I29" s="922"/>
      <c r="J29" s="923"/>
      <c r="K29" s="922"/>
      <c r="L29" s="924"/>
      <c r="M29" s="924"/>
      <c r="N29" s="924"/>
      <c r="O29" s="925"/>
    </row>
    <row r="30" spans="3:15" ht="15" customHeight="1">
      <c r="D30" s="2"/>
      <c r="E30" s="2"/>
      <c r="F30" s="2"/>
      <c r="G30" s="2"/>
      <c r="H30" s="5"/>
      <c r="I30" s="922"/>
      <c r="J30" s="923"/>
      <c r="K30" s="922"/>
      <c r="L30" s="924"/>
      <c r="M30" s="924"/>
      <c r="N30" s="924"/>
      <c r="O30" s="925"/>
    </row>
    <row r="31" spans="3:15" ht="15" customHeight="1">
      <c r="D31" s="2"/>
      <c r="E31" s="2"/>
      <c r="F31" s="2"/>
      <c r="G31" s="2"/>
      <c r="H31" s="5"/>
      <c r="I31" s="922"/>
      <c r="J31" s="923"/>
      <c r="K31" s="922"/>
      <c r="L31" s="924"/>
      <c r="M31" s="924"/>
      <c r="N31" s="924"/>
      <c r="O31" s="925"/>
    </row>
    <row r="32" spans="3:15" ht="15" customHeight="1">
      <c r="D32" s="2"/>
      <c r="E32" s="2"/>
      <c r="F32" s="2"/>
      <c r="G32" s="2"/>
      <c r="H32" s="5"/>
      <c r="I32" s="922" t="s">
        <v>207</v>
      </c>
      <c r="J32" s="923"/>
      <c r="K32" s="922" t="str">
        <f>IF(ISBLANK(Présentation!B40),"",Présentation!B40)</f>
        <v/>
      </c>
      <c r="L32" s="924"/>
      <c r="M32" s="924"/>
      <c r="N32" s="924"/>
      <c r="O32" s="925"/>
    </row>
    <row r="33" spans="4:15" ht="15" customHeight="1">
      <c r="D33" s="2"/>
      <c r="E33" s="2"/>
      <c r="F33" s="2"/>
      <c r="G33" s="2"/>
      <c r="H33" s="5"/>
      <c r="I33" s="922"/>
      <c r="J33" s="923"/>
      <c r="K33" s="922"/>
      <c r="L33" s="924"/>
      <c r="M33" s="924"/>
      <c r="N33" s="924"/>
      <c r="O33" s="925"/>
    </row>
    <row r="34" spans="4:15" ht="15" customHeight="1">
      <c r="D34" s="2"/>
      <c r="E34" s="2"/>
      <c r="F34" s="2"/>
      <c r="G34" s="2"/>
      <c r="H34" s="5"/>
      <c r="I34" s="922" t="s">
        <v>208</v>
      </c>
      <c r="J34" s="923"/>
      <c r="K34" s="939" t="str">
        <f>IF(ISBLANK(Présentation!B43),"",Présentation!B43)</f>
        <v/>
      </c>
      <c r="L34" s="940"/>
      <c r="M34" s="940"/>
      <c r="N34" s="940"/>
      <c r="O34" s="941"/>
    </row>
    <row r="35" spans="4:15" ht="15" customHeight="1">
      <c r="D35" s="2"/>
      <c r="E35" s="2"/>
      <c r="F35" s="2"/>
      <c r="G35" s="2"/>
      <c r="H35" s="5"/>
      <c r="I35" s="922"/>
      <c r="J35" s="923"/>
      <c r="K35" s="942"/>
      <c r="L35" s="943"/>
      <c r="M35" s="943"/>
      <c r="N35" s="943"/>
      <c r="O35" s="944"/>
    </row>
    <row r="36" spans="4:15" ht="15" customHeight="1">
      <c r="D36" s="2"/>
      <c r="E36" s="2"/>
      <c r="F36" s="2"/>
      <c r="G36" s="2"/>
      <c r="H36" s="5"/>
      <c r="I36" s="922" t="s">
        <v>209</v>
      </c>
      <c r="J36" s="923"/>
      <c r="K36" s="922" t="str">
        <f>IF(ISBLANK(Présentation!B46),"",Présentation!B46)</f>
        <v/>
      </c>
      <c r="L36" s="924"/>
      <c r="M36" s="924"/>
      <c r="N36" s="924"/>
      <c r="O36" s="925"/>
    </row>
    <row r="37" spans="4:15" ht="15" customHeight="1">
      <c r="D37" s="2"/>
      <c r="E37" s="2"/>
      <c r="F37" s="2"/>
      <c r="G37" s="2"/>
      <c r="H37" s="5"/>
      <c r="I37" s="922"/>
      <c r="J37" s="923"/>
      <c r="K37" s="926"/>
      <c r="L37" s="927"/>
      <c r="M37" s="927"/>
      <c r="N37" s="927"/>
      <c r="O37" s="928"/>
    </row>
    <row r="38" spans="4:15" ht="15" customHeight="1">
      <c r="D38" s="2"/>
      <c r="E38" s="2"/>
      <c r="F38" s="2"/>
      <c r="G38" s="2"/>
      <c r="H38" s="5"/>
      <c r="I38" s="922"/>
      <c r="J38" s="923"/>
      <c r="K38" s="929"/>
      <c r="L38" s="930"/>
      <c r="M38" s="930"/>
      <c r="N38" s="930"/>
      <c r="O38" s="931"/>
    </row>
    <row r="39" spans="4:15" ht="15" customHeight="1">
      <c r="D39" s="2"/>
      <c r="E39" s="2"/>
      <c r="F39" s="2"/>
      <c r="G39" s="2"/>
      <c r="H39" s="5"/>
      <c r="I39" s="922"/>
      <c r="J39" s="923"/>
      <c r="K39" s="932"/>
      <c r="L39" s="933"/>
      <c r="M39" s="933"/>
      <c r="N39" s="933"/>
      <c r="O39" s="934"/>
    </row>
    <row r="40" spans="4:15" ht="15" customHeight="1">
      <c r="D40" s="2"/>
      <c r="E40" s="2"/>
      <c r="F40" s="2"/>
      <c r="G40" s="2"/>
      <c r="H40" s="5"/>
      <c r="I40" s="922" t="s">
        <v>210</v>
      </c>
      <c r="J40" s="923"/>
      <c r="K40" s="937" t="str">
        <f>IF(ISBLANK(Présentation!B49),"",Présentation!B49)</f>
        <v/>
      </c>
      <c r="L40" s="125"/>
      <c r="M40" s="125"/>
      <c r="N40" s="125"/>
      <c r="O40" s="126"/>
    </row>
    <row r="41" spans="4:15" ht="15" customHeight="1" thickBot="1">
      <c r="D41" s="2"/>
      <c r="E41" s="2"/>
      <c r="F41" s="2"/>
      <c r="G41" s="2"/>
      <c r="H41" s="5"/>
      <c r="I41" s="935"/>
      <c r="J41" s="936"/>
      <c r="K41" s="938"/>
      <c r="L41" s="127"/>
      <c r="M41" s="127"/>
      <c r="N41" s="127"/>
      <c r="O41" s="128"/>
    </row>
    <row r="42" spans="4:15" ht="15" customHeight="1">
      <c r="D42" s="2"/>
      <c r="E42" s="2"/>
      <c r="F42" s="2"/>
      <c r="G42" s="2"/>
      <c r="H42" s="5"/>
      <c r="I42" s="4"/>
      <c r="J42" s="4"/>
    </row>
    <row r="43" spans="4:15" ht="15" customHeight="1">
      <c r="D43" s="2"/>
      <c r="E43" s="2"/>
      <c r="F43" s="2"/>
      <c r="G43" s="2"/>
      <c r="H43" s="5"/>
      <c r="I43" s="4"/>
      <c r="J43" s="4"/>
    </row>
    <row r="44" spans="4:15" ht="15" customHeight="1">
      <c r="D44" s="2"/>
      <c r="E44" s="2"/>
      <c r="F44" s="2"/>
      <c r="G44" s="2"/>
      <c r="H44" s="5"/>
      <c r="I44" s="4"/>
      <c r="J44" s="4"/>
    </row>
    <row r="45" spans="4:15">
      <c r="D45" s="2"/>
      <c r="E45" s="2"/>
      <c r="F45" s="2"/>
      <c r="G45" s="2"/>
    </row>
    <row r="46" spans="4:15">
      <c r="D46" s="2"/>
      <c r="E46" s="2"/>
      <c r="F46" s="2"/>
      <c r="G46" s="2"/>
    </row>
    <row r="47" spans="4:15">
      <c r="D47" s="2"/>
      <c r="E47" s="2"/>
      <c r="F47" s="2"/>
      <c r="G47" s="2"/>
    </row>
    <row r="48" spans="4:15">
      <c r="D48" s="129" t="str">
        <f>K32</f>
        <v/>
      </c>
      <c r="E48" s="2"/>
      <c r="F48" s="2"/>
      <c r="G48" s="2"/>
    </row>
    <row r="49" spans="4:15">
      <c r="D49" s="129" t="str">
        <f>K34</f>
        <v/>
      </c>
      <c r="E49" s="2"/>
      <c r="F49" s="2"/>
      <c r="G49" s="2"/>
    </row>
    <row r="50" spans="4:15">
      <c r="D50" s="129" t="str">
        <f>K36</f>
        <v/>
      </c>
      <c r="E50" s="2"/>
      <c r="F50" s="2"/>
      <c r="G50" s="2"/>
      <c r="O50">
        <v>2</v>
      </c>
    </row>
  </sheetData>
  <sheetProtection password="CF95" sheet="1" objects="1" scenarios="1"/>
  <mergeCells count="32">
    <mergeCell ref="I2:O4"/>
    <mergeCell ref="C15:G19"/>
    <mergeCell ref="I15:J17"/>
    <mergeCell ref="K15:O17"/>
    <mergeCell ref="I18:J19"/>
    <mergeCell ref="K18:O19"/>
    <mergeCell ref="B8:F12"/>
    <mergeCell ref="I28:J29"/>
    <mergeCell ref="K28:O29"/>
    <mergeCell ref="I20:J21"/>
    <mergeCell ref="K20:O21"/>
    <mergeCell ref="I22:J23"/>
    <mergeCell ref="K22:O23"/>
    <mergeCell ref="I24:J25"/>
    <mergeCell ref="K24:O25"/>
    <mergeCell ref="I26:J27"/>
    <mergeCell ref="K26:L27"/>
    <mergeCell ref="M26:M27"/>
    <mergeCell ref="N26:N27"/>
    <mergeCell ref="O26:O27"/>
    <mergeCell ref="I30:J31"/>
    <mergeCell ref="K30:O31"/>
    <mergeCell ref="I32:J33"/>
    <mergeCell ref="K32:O33"/>
    <mergeCell ref="I34:J35"/>
    <mergeCell ref="K34:O35"/>
    <mergeCell ref="I36:J37"/>
    <mergeCell ref="K36:O37"/>
    <mergeCell ref="I38:J39"/>
    <mergeCell ref="K38:O39"/>
    <mergeCell ref="I40:J41"/>
    <mergeCell ref="K40:K41"/>
  </mergeCells>
  <pageMargins left="0.31496062992125984" right="0.31496062992125984"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6" tint="0.39997558519241921"/>
  </sheetPr>
  <dimension ref="A1:P173"/>
  <sheetViews>
    <sheetView tabSelected="1" topLeftCell="A7" zoomScale="110" zoomScaleNormal="110" workbookViewId="0">
      <selection activeCell="K56" sqref="K56"/>
    </sheetView>
  </sheetViews>
  <sheetFormatPr baseColWidth="10" defaultRowHeight="15"/>
  <cols>
    <col min="1" max="1" width="10.7109375" customWidth="1"/>
    <col min="3" max="3" width="13.140625" customWidth="1"/>
    <col min="7" max="7" width="10.42578125" customWidth="1"/>
    <col min="8" max="8" width="12.28515625" customWidth="1"/>
    <col min="9" max="9" width="8.28515625" customWidth="1"/>
    <col min="11" max="11" width="13.28515625" customWidth="1"/>
    <col min="14" max="14" width="12.28515625" customWidth="1"/>
    <col min="15" max="15" width="11.140625" customWidth="1"/>
    <col min="16" max="16" width="12.5703125" customWidth="1"/>
  </cols>
  <sheetData>
    <row r="1" spans="1:16" ht="14.25" customHeight="1">
      <c r="A1" s="1"/>
      <c r="B1" s="1"/>
      <c r="C1" s="1"/>
      <c r="D1" s="1"/>
      <c r="E1" s="1"/>
      <c r="F1" s="1"/>
      <c r="G1" s="1"/>
      <c r="H1" s="1"/>
      <c r="I1" s="908" t="str">
        <f>IFERROR('BO AF'!A115:H116,"")</f>
        <v/>
      </c>
      <c r="J1" s="908"/>
      <c r="K1" s="908"/>
      <c r="L1" s="908"/>
      <c r="M1" s="908"/>
      <c r="N1" s="908"/>
      <c r="O1" s="908"/>
      <c r="P1" s="908"/>
    </row>
    <row r="2" spans="1:16" ht="14.25" customHeight="1">
      <c r="A2" s="1"/>
      <c r="B2" s="955" t="s">
        <v>1</v>
      </c>
      <c r="C2" s="955"/>
      <c r="D2" s="955"/>
      <c r="E2" s="955"/>
      <c r="F2" s="955"/>
      <c r="G2" s="955"/>
      <c r="H2" s="955"/>
      <c r="I2" s="908"/>
      <c r="J2" s="908"/>
      <c r="K2" s="908"/>
      <c r="L2" s="908"/>
      <c r="M2" s="908"/>
      <c r="N2" s="908"/>
      <c r="O2" s="908"/>
      <c r="P2" s="908"/>
    </row>
    <row r="3" spans="1:16" ht="15" customHeight="1">
      <c r="A3" s="1"/>
      <c r="B3" s="955"/>
      <c r="C3" s="955"/>
      <c r="D3" s="955"/>
      <c r="E3" s="955"/>
      <c r="F3" s="955"/>
      <c r="G3" s="955"/>
      <c r="H3" s="955"/>
      <c r="I3" s="892" t="str">
        <f>IFERROR(VLOOKUP(TRUE,'BO AF'!A127:H130,2,FALSE),"")</f>
        <v/>
      </c>
      <c r="J3" s="892"/>
      <c r="K3" s="892"/>
      <c r="L3" s="892"/>
      <c r="M3" s="892"/>
      <c r="N3" s="892"/>
      <c r="O3" s="892"/>
      <c r="P3" s="892"/>
    </row>
    <row r="4" spans="1:16" ht="15" customHeight="1">
      <c r="B4" s="955"/>
      <c r="C4" s="955"/>
      <c r="D4" s="955"/>
      <c r="E4" s="955"/>
      <c r="F4" s="955"/>
      <c r="G4" s="955"/>
      <c r="H4" s="955"/>
      <c r="I4" s="892"/>
      <c r="J4" s="892"/>
      <c r="K4" s="892"/>
      <c r="L4" s="892"/>
      <c r="M4" s="892"/>
      <c r="N4" s="892"/>
      <c r="O4" s="892"/>
      <c r="P4" s="892"/>
    </row>
    <row r="5" spans="1:16" ht="15" customHeight="1">
      <c r="I5" s="4" t="str">
        <f>'BO AF'!B136</f>
        <v>Levier opérationnel faible : risque maîtrisé</v>
      </c>
      <c r="K5" s="32"/>
      <c r="L5" s="32"/>
      <c r="M5" s="32"/>
      <c r="N5" s="32"/>
      <c r="O5" s="32"/>
      <c r="P5" s="32"/>
    </row>
    <row r="6" spans="1:16" ht="15" customHeight="1">
      <c r="A6" s="8"/>
      <c r="I6" s="71" t="str">
        <f>IFERROR('BO AF'!A134,"")</f>
        <v>Si le chiffre d'affaires baisse de 1%, alors le résultat d'exploitation diminue de 0%.</v>
      </c>
      <c r="K6" s="19"/>
      <c r="L6" s="19"/>
      <c r="M6" s="19"/>
      <c r="N6" s="19"/>
      <c r="O6" s="19"/>
      <c r="P6" s="19"/>
    </row>
    <row r="7" spans="1:16">
      <c r="B7" s="2" t="s">
        <v>19</v>
      </c>
      <c r="C7" s="2"/>
      <c r="D7" s="2"/>
      <c r="E7" s="2"/>
      <c r="F7" s="2"/>
      <c r="G7" s="2"/>
      <c r="H7" s="2"/>
      <c r="K7" s="19"/>
      <c r="L7" s="19"/>
      <c r="M7" s="19"/>
      <c r="N7" s="19"/>
      <c r="O7" s="19"/>
      <c r="P7" s="19"/>
    </row>
    <row r="8" spans="1:16">
      <c r="K8" s="19"/>
      <c r="L8" s="19"/>
      <c r="M8" s="19"/>
      <c r="N8" s="19"/>
      <c r="O8" s="19"/>
      <c r="P8" s="19"/>
    </row>
    <row r="9" spans="1:16" ht="14.25" customHeight="1">
      <c r="D9" s="38" t="str">
        <f>IFERROR('BO AF'!C8,"")</f>
        <v/>
      </c>
      <c r="E9" s="976" t="s">
        <v>129</v>
      </c>
      <c r="F9" s="976"/>
      <c r="G9" s="976"/>
      <c r="H9" s="976"/>
      <c r="J9" s="2" t="s">
        <v>102</v>
      </c>
      <c r="K9" s="2"/>
      <c r="L9" s="2"/>
      <c r="M9" s="2"/>
      <c r="N9" s="2"/>
      <c r="O9" s="2"/>
      <c r="P9" s="2"/>
    </row>
    <row r="10" spans="1:16" ht="14.25" customHeight="1">
      <c r="D10" s="33"/>
      <c r="E10" s="33"/>
      <c r="F10" s="33"/>
      <c r="G10" s="33"/>
      <c r="H10" s="33"/>
    </row>
    <row r="11" spans="1:16" ht="15" customHeight="1">
      <c r="B11" s="3"/>
      <c r="C11" s="3"/>
      <c r="D11" s="892" t="str">
        <f>IFERROR('BO AF'!A9,"")</f>
        <v/>
      </c>
      <c r="E11" s="892"/>
      <c r="F11" s="892"/>
      <c r="G11" s="892"/>
      <c r="H11" s="892"/>
      <c r="I11" s="44">
        <f>IFERROR('BO AF'!D140,"")</f>
        <v>0</v>
      </c>
      <c r="J11" s="20" t="s">
        <v>103</v>
      </c>
      <c r="K11" s="21"/>
      <c r="L11" s="22">
        <f>IFERROR('BO AF'!D140,"")</f>
        <v>0</v>
      </c>
      <c r="M11" s="44">
        <f>'BO AF'!A182</f>
        <v>0</v>
      </c>
      <c r="N11" s="20" t="s">
        <v>106</v>
      </c>
      <c r="O11" s="21"/>
      <c r="P11" s="22">
        <f>IFERROR('BO AF'!D180,"")</f>
        <v>0</v>
      </c>
    </row>
    <row r="12" spans="1:16" ht="15" customHeight="1">
      <c r="B12" s="3"/>
      <c r="C12" s="3"/>
      <c r="D12" s="892"/>
      <c r="E12" s="892"/>
      <c r="F12" s="892"/>
      <c r="G12" s="892"/>
      <c r="H12" s="892"/>
      <c r="I12" s="45">
        <f>IFERROR('BO AF'!A158,"")</f>
        <v>-1</v>
      </c>
      <c r="J12" s="20" t="s">
        <v>104</v>
      </c>
      <c r="K12" s="21"/>
      <c r="L12" s="22">
        <f>IFERROR('BO AF'!D153,"")</f>
        <v>0</v>
      </c>
      <c r="M12" s="46">
        <f>IFERROR('BO AF'!C196,"")</f>
        <v>0</v>
      </c>
      <c r="N12" s="20" t="s">
        <v>108</v>
      </c>
      <c r="O12" s="21"/>
      <c r="P12" s="24">
        <f>IFERROR('BO AF'!C196,"")</f>
        <v>0</v>
      </c>
    </row>
    <row r="13" spans="1:16" ht="14.25" customHeight="1">
      <c r="B13" s="3"/>
      <c r="C13" s="3"/>
      <c r="D13" s="892"/>
      <c r="E13" s="892"/>
      <c r="F13" s="892"/>
      <c r="G13" s="892"/>
      <c r="H13" s="892"/>
      <c r="I13" s="36">
        <f>IFERROR('BO AF'!D167,"")</f>
        <v>0</v>
      </c>
      <c r="J13" s="20" t="s">
        <v>105</v>
      </c>
      <c r="K13" s="21"/>
      <c r="L13" s="25">
        <f>IFERROR('BO AF'!D167,"")</f>
        <v>0</v>
      </c>
      <c r="M13" s="47">
        <f>IFERROR('BO AF'!C207,"")</f>
        <v>0</v>
      </c>
      <c r="N13" s="20" t="s">
        <v>107</v>
      </c>
      <c r="O13" s="21"/>
      <c r="P13" s="22">
        <f>IFERROR('BO AF'!C207,"")</f>
        <v>0</v>
      </c>
    </row>
    <row r="14" spans="1:16">
      <c r="B14" s="3"/>
      <c r="C14" s="3"/>
      <c r="D14" s="894" t="str">
        <f>IFERROR(IF('BO AF'!A11=0,"",'BO AF'!A11),"")</f>
        <v/>
      </c>
      <c r="E14" s="894"/>
      <c r="F14" s="894"/>
      <c r="G14" s="894"/>
      <c r="H14" s="894"/>
      <c r="I14" s="17"/>
      <c r="J14" s="17"/>
      <c r="K14" s="26"/>
      <c r="L14" s="19"/>
      <c r="M14" s="19"/>
      <c r="N14" s="19"/>
      <c r="O14" s="19"/>
      <c r="P14" s="19"/>
    </row>
    <row r="15" spans="1:16" ht="15.75" customHeight="1">
      <c r="B15" s="3"/>
      <c r="C15" s="3"/>
      <c r="D15" s="894"/>
      <c r="E15" s="894"/>
      <c r="F15" s="894"/>
      <c r="G15" s="894"/>
      <c r="H15" s="894"/>
      <c r="I15" s="892" t="str">
        <f>IFERROR('BO AF'!A143,"")</f>
        <v>Le ratio est inférieur à 25%. L'entreprise est trop endettée : les dettes sont trop importantes par rapport aux capitaux propres. Logiquement, l'entreprise ne peut plus faire appel aux banques pour financer son projet.</v>
      </c>
      <c r="J15" s="892"/>
      <c r="K15" s="892"/>
      <c r="L15" s="892"/>
      <c r="M15" s="892"/>
      <c r="N15" s="892"/>
      <c r="O15" s="892"/>
      <c r="P15" s="892"/>
    </row>
    <row r="16" spans="1:16" ht="15" customHeight="1">
      <c r="B16" s="3"/>
      <c r="C16" s="3"/>
      <c r="D16" s="894" t="str">
        <f>IFERROR('BO AF'!A12,"")</f>
        <v/>
      </c>
      <c r="E16" s="894"/>
      <c r="F16" s="894"/>
      <c r="G16" s="894"/>
      <c r="H16" s="894"/>
      <c r="I16" s="892"/>
      <c r="J16" s="892"/>
      <c r="K16" s="892"/>
      <c r="L16" s="892"/>
      <c r="M16" s="892"/>
      <c r="N16" s="892"/>
      <c r="O16" s="892"/>
      <c r="P16" s="892"/>
    </row>
    <row r="17" spans="1:16" ht="15" customHeight="1">
      <c r="B17" s="3"/>
      <c r="C17" s="3"/>
      <c r="D17" s="3"/>
      <c r="E17" s="16"/>
      <c r="F17" s="17"/>
      <c r="G17" s="17"/>
      <c r="H17" s="17"/>
      <c r="I17" s="892" t="str">
        <f>IFERROR('BO AF'!B158,"")</f>
        <v>L'entreprise n'est pas en mesure d'honorer ses engagements s'il devait y avoir une liquidation de l'ensemble de la société.</v>
      </c>
      <c r="J17" s="892"/>
      <c r="K17" s="892"/>
      <c r="L17" s="892"/>
      <c r="M17" s="892"/>
      <c r="N17" s="892"/>
      <c r="O17" s="892"/>
      <c r="P17" s="892"/>
    </row>
    <row r="18" spans="1:16" ht="15" customHeight="1">
      <c r="A18" s="3"/>
      <c r="B18" s="977" t="s">
        <v>130</v>
      </c>
      <c r="C18" s="977"/>
      <c r="D18" s="977"/>
      <c r="E18" s="977"/>
      <c r="F18" s="3"/>
      <c r="G18" s="3"/>
      <c r="H18" s="3"/>
      <c r="I18" s="892"/>
      <c r="J18" s="892"/>
      <c r="K18" s="892"/>
      <c r="L18" s="892"/>
      <c r="M18" s="892"/>
      <c r="N18" s="892"/>
      <c r="O18" s="892"/>
      <c r="P18" s="892"/>
    </row>
    <row r="19" spans="1:16" ht="15" customHeight="1">
      <c r="A19" s="474"/>
      <c r="B19" s="3"/>
      <c r="C19" s="3"/>
      <c r="D19" s="3"/>
      <c r="E19" s="3"/>
      <c r="F19" s="474"/>
      <c r="G19" s="474"/>
      <c r="H19" s="474"/>
      <c r="I19" s="975" t="str">
        <f>IFERROR('BO AF'!A171,"")</f>
        <v>L'entreprise est incapable d'honorer ses engagements à court terme. Pour chaque euro que l'entreprise doit, celle-ci ne possède que 0 € en cash à la banque.</v>
      </c>
      <c r="J19" s="975"/>
      <c r="K19" s="975"/>
      <c r="L19" s="975"/>
      <c r="M19" s="975"/>
      <c r="N19" s="975"/>
      <c r="O19" s="975"/>
      <c r="P19" s="975"/>
    </row>
    <row r="20" spans="1:16" ht="15" customHeight="1">
      <c r="A20" s="894" t="str">
        <f>IFERROR('BO AF'!A36,"")</f>
        <v>La marge brute représente 0% du prix de vente du produit ou du service.</v>
      </c>
      <c r="B20" s="894"/>
      <c r="C20" s="894"/>
      <c r="D20" s="894"/>
      <c r="E20" s="894"/>
      <c r="F20" s="474"/>
      <c r="G20" s="474"/>
      <c r="H20" s="474"/>
      <c r="I20" s="975"/>
      <c r="J20" s="975"/>
      <c r="K20" s="975"/>
      <c r="L20" s="975"/>
      <c r="M20" s="975"/>
      <c r="N20" s="975"/>
      <c r="O20" s="975"/>
      <c r="P20" s="975"/>
    </row>
    <row r="21" spans="1:16" ht="15" customHeight="1">
      <c r="A21" s="894"/>
      <c r="B21" s="894"/>
      <c r="C21" s="894"/>
      <c r="D21" s="894"/>
      <c r="E21" s="894"/>
      <c r="F21" s="3"/>
      <c r="G21" s="3"/>
      <c r="H21" s="3"/>
      <c r="I21" s="892" t="str">
        <f>IFERROR('BO AF'!B182,"")</f>
        <v>L'entreprise est dans une situation économique risquée car le ratio est supérieur à 50%. Le financement de l'entreprise provient majoritairement de sources externes plutôt que de sources internes.</v>
      </c>
      <c r="J21" s="892"/>
      <c r="K21" s="892"/>
      <c r="L21" s="892"/>
      <c r="M21" s="892"/>
      <c r="N21" s="892"/>
      <c r="O21" s="892"/>
      <c r="P21" s="892"/>
    </row>
    <row r="22" spans="1:16" ht="15" customHeight="1">
      <c r="A22" s="973" t="s">
        <v>182</v>
      </c>
      <c r="B22" s="973"/>
      <c r="C22" s="973"/>
      <c r="D22" s="973"/>
      <c r="E22" s="973"/>
      <c r="F22" s="3"/>
      <c r="G22" s="3"/>
      <c r="H22" s="3"/>
      <c r="I22" s="892"/>
      <c r="J22" s="892"/>
      <c r="K22" s="892"/>
      <c r="L22" s="892"/>
      <c r="M22" s="892"/>
      <c r="N22" s="892"/>
      <c r="O22" s="892"/>
      <c r="P22" s="892"/>
    </row>
    <row r="23" spans="1:16" ht="15" customHeight="1">
      <c r="A23" s="973"/>
      <c r="B23" s="973"/>
      <c r="C23" s="973"/>
      <c r="D23" s="973"/>
      <c r="E23" s="973"/>
      <c r="F23" s="3"/>
      <c r="G23" s="3"/>
      <c r="H23" s="3"/>
      <c r="I23" s="892" t="str">
        <f>IFERROR('BO AF'!A199,"")</f>
        <v/>
      </c>
      <c r="J23" s="892"/>
      <c r="K23" s="892"/>
      <c r="L23" s="892"/>
      <c r="M23" s="892"/>
      <c r="N23" s="892"/>
      <c r="O23" s="892"/>
      <c r="P23" s="892"/>
    </row>
    <row r="24" spans="1:16" ht="15" customHeight="1">
      <c r="A24" s="16"/>
      <c r="B24" s="17"/>
      <c r="C24" s="17"/>
      <c r="D24" s="3"/>
      <c r="E24" s="3"/>
      <c r="F24" s="3"/>
      <c r="G24" s="3"/>
      <c r="H24" s="3"/>
      <c r="I24" s="892"/>
      <c r="J24" s="892"/>
      <c r="K24" s="892"/>
      <c r="L24" s="892"/>
      <c r="M24" s="892"/>
      <c r="N24" s="892"/>
      <c r="O24" s="892"/>
      <c r="P24" s="892"/>
    </row>
    <row r="25" spans="1:16" ht="15" customHeight="1">
      <c r="A25" s="3"/>
      <c r="B25" s="3"/>
      <c r="C25" s="3"/>
      <c r="D25" s="40" t="str">
        <f>IFERROR('BO AF'!C45,"")</f>
        <v/>
      </c>
      <c r="E25" s="972" t="s">
        <v>131</v>
      </c>
      <c r="F25" s="972"/>
      <c r="G25" s="972"/>
      <c r="H25" s="972"/>
      <c r="I25" s="881" t="str">
        <f>IFERROR('BO AF'!A212,"")</f>
        <v>Vieillissement important des installations. L'entreprise doit prévoir de les remplacer très prochainement.</v>
      </c>
      <c r="J25" s="881"/>
      <c r="K25" s="881"/>
      <c r="L25" s="881"/>
      <c r="M25" s="881"/>
      <c r="N25" s="881"/>
      <c r="O25" s="881"/>
      <c r="P25" s="881"/>
    </row>
    <row r="26" spans="1:16" ht="15" customHeight="1">
      <c r="A26" s="3"/>
      <c r="B26" s="3"/>
      <c r="C26" s="3"/>
      <c r="D26" s="3"/>
      <c r="E26" s="34"/>
      <c r="F26" s="34"/>
      <c r="G26" s="34"/>
      <c r="H26" s="34"/>
      <c r="I26" s="881"/>
      <c r="J26" s="881"/>
      <c r="K26" s="881"/>
      <c r="L26" s="881"/>
      <c r="M26" s="881"/>
      <c r="N26" s="881"/>
      <c r="O26" s="881"/>
      <c r="P26" s="881"/>
    </row>
    <row r="27" spans="1:16" ht="15" customHeight="1">
      <c r="A27" s="3"/>
      <c r="B27" s="3"/>
      <c r="C27" s="3"/>
      <c r="D27" s="894" t="str">
        <f>IFERROR('BO AF'!A46,"")</f>
        <v/>
      </c>
      <c r="E27" s="894"/>
      <c r="F27" s="894"/>
      <c r="G27" s="894"/>
      <c r="H27" s="894"/>
    </row>
    <row r="28" spans="1:16" ht="15" customHeight="1">
      <c r="A28" s="3"/>
      <c r="B28" s="3"/>
      <c r="C28" s="3"/>
      <c r="D28" s="894"/>
      <c r="E28" s="894"/>
      <c r="F28" s="894"/>
      <c r="G28" s="894"/>
      <c r="H28" s="894"/>
      <c r="J28" s="15" t="s">
        <v>113</v>
      </c>
      <c r="K28" s="15"/>
      <c r="L28" s="15"/>
    </row>
    <row r="29" spans="1:16" ht="15" customHeight="1">
      <c r="A29" s="3"/>
      <c r="B29" s="3"/>
      <c r="C29" s="3"/>
      <c r="D29" s="894"/>
      <c r="E29" s="894"/>
      <c r="F29" s="894"/>
      <c r="G29" s="894"/>
      <c r="H29" s="894"/>
      <c r="I29" s="19"/>
      <c r="J29" s="19"/>
      <c r="K29" s="19"/>
      <c r="M29" s="31"/>
      <c r="N29" s="31"/>
      <c r="O29" s="31"/>
      <c r="P29" s="31"/>
    </row>
    <row r="30" spans="1:16" ht="15" customHeight="1">
      <c r="A30" s="3"/>
      <c r="B30" s="3"/>
      <c r="C30" s="3"/>
      <c r="D30" s="894" t="str">
        <f>IFERROR('BO AF'!A47,"")</f>
        <v/>
      </c>
      <c r="E30" s="894"/>
      <c r="F30" s="894"/>
      <c r="G30" s="894"/>
      <c r="H30" s="894"/>
      <c r="I30" s="19"/>
      <c r="J30" s="19"/>
      <c r="K30" s="19"/>
      <c r="L30" s="31"/>
      <c r="M30" s="36">
        <f>'BO AF'!A223</f>
        <v>0</v>
      </c>
      <c r="N30" s="976" t="s">
        <v>137</v>
      </c>
      <c r="O30" s="976"/>
      <c r="P30" s="976"/>
    </row>
    <row r="31" spans="1:16" ht="15" customHeight="1">
      <c r="A31" s="3"/>
      <c r="B31" s="3"/>
      <c r="C31" s="3"/>
      <c r="D31" s="894"/>
      <c r="E31" s="894"/>
      <c r="F31" s="894"/>
      <c r="G31" s="894"/>
      <c r="H31" s="894"/>
      <c r="I31" s="19"/>
      <c r="J31" s="19"/>
      <c r="K31" s="19"/>
      <c r="L31" s="31"/>
      <c r="M31" s="33"/>
      <c r="N31" s="33"/>
      <c r="O31" s="33"/>
      <c r="P31" s="33"/>
    </row>
    <row r="32" spans="1:16" ht="15" customHeight="1">
      <c r="A32" s="3"/>
      <c r="B32" s="3"/>
      <c r="C32" s="3"/>
      <c r="D32" s="894" t="str">
        <f>IFERROR('BO AF'!A48,"")</f>
        <v/>
      </c>
      <c r="E32" s="894"/>
      <c r="F32" s="894"/>
      <c r="G32" s="894"/>
      <c r="H32" s="894"/>
      <c r="I32" s="19"/>
      <c r="J32" s="19"/>
      <c r="K32" s="19"/>
      <c r="L32" s="31"/>
      <c r="M32" s="892" t="str">
        <f>'BO AF'!B223</f>
        <v>On constate un fonds de roulement nul : les ressources stables couvrent les emplois sans qu'un excédent ne soit généré.</v>
      </c>
      <c r="N32" s="892"/>
      <c r="O32" s="892"/>
      <c r="P32" s="892"/>
    </row>
    <row r="33" spans="1:16" ht="15" customHeight="1">
      <c r="A33" s="3"/>
      <c r="B33" s="3"/>
      <c r="C33" s="3"/>
      <c r="D33" s="3"/>
      <c r="E33" s="409"/>
      <c r="F33" s="409"/>
      <c r="G33" s="409"/>
      <c r="H33" s="409"/>
      <c r="I33" s="19"/>
      <c r="J33" s="19"/>
      <c r="K33" s="19"/>
      <c r="L33" s="31"/>
      <c r="M33" s="892"/>
      <c r="N33" s="892"/>
      <c r="O33" s="892"/>
      <c r="P33" s="892"/>
    </row>
    <row r="34" spans="1:16" ht="15" customHeight="1">
      <c r="A34" s="475">
        <f>'BO AF'!B74</f>
        <v>0</v>
      </c>
      <c r="B34" s="476" t="s">
        <v>132</v>
      </c>
      <c r="C34" s="3"/>
      <c r="D34" s="3"/>
      <c r="E34" s="3"/>
      <c r="F34" s="407"/>
      <c r="G34" s="407"/>
      <c r="H34" s="407"/>
      <c r="I34" s="19"/>
      <c r="J34" s="19"/>
      <c r="K34" s="19"/>
      <c r="L34" s="19"/>
      <c r="M34" s="892"/>
      <c r="N34" s="892"/>
      <c r="O34" s="892"/>
      <c r="P34" s="892"/>
    </row>
    <row r="35" spans="1:16" ht="15" customHeight="1">
      <c r="A35" s="3"/>
      <c r="B35" s="3"/>
      <c r="C35" s="3"/>
      <c r="D35" s="3"/>
      <c r="E35" s="477"/>
      <c r="F35" s="477"/>
      <c r="G35" s="477"/>
      <c r="H35" s="477"/>
      <c r="I35" s="19"/>
      <c r="J35" s="19"/>
      <c r="K35" s="19"/>
      <c r="L35" s="19"/>
      <c r="M35" s="19"/>
      <c r="N35" s="19"/>
      <c r="O35" s="19"/>
      <c r="P35" s="19"/>
    </row>
    <row r="36" spans="1:16" ht="15" customHeight="1">
      <c r="A36" s="894" t="str">
        <f>'BO AF'!B80</f>
        <v>Le Résultat Net est positif : l'entreprise réalise un bénéfice, qui est engendré essentiellement par le Résultat d'exploitation.</v>
      </c>
      <c r="B36" s="894"/>
      <c r="C36" s="894"/>
      <c r="D36" s="894"/>
      <c r="E36" s="894"/>
      <c r="F36" s="477"/>
      <c r="G36" s="477"/>
      <c r="H36" s="477"/>
      <c r="I36" s="19"/>
      <c r="J36" s="19"/>
      <c r="K36" s="19"/>
      <c r="L36" s="19"/>
      <c r="M36" s="19"/>
      <c r="N36" s="19"/>
      <c r="O36" s="19"/>
      <c r="P36" s="19"/>
    </row>
    <row r="37" spans="1:16" ht="15" customHeight="1">
      <c r="A37" s="894"/>
      <c r="B37" s="894"/>
      <c r="C37" s="894"/>
      <c r="D37" s="894"/>
      <c r="E37" s="894"/>
      <c r="F37" s="477"/>
      <c r="G37" s="477"/>
      <c r="H37" s="477"/>
      <c r="I37" s="49">
        <f>'BO AF'!H246</f>
        <v>0</v>
      </c>
      <c r="J37" s="37" t="s">
        <v>138</v>
      </c>
      <c r="K37" s="19"/>
      <c r="L37" s="19"/>
      <c r="M37" s="19"/>
      <c r="N37" s="19"/>
      <c r="O37" s="19"/>
      <c r="P37" s="19"/>
    </row>
    <row r="38" spans="1:16" ht="15" customHeight="1">
      <c r="A38" s="894">
        <f>'BO AF'!A85</f>
        <v>0</v>
      </c>
      <c r="B38" s="894"/>
      <c r="C38" s="894"/>
      <c r="D38" s="894"/>
      <c r="E38" s="894"/>
      <c r="F38" s="478"/>
      <c r="G38" s="478"/>
      <c r="H38" s="478"/>
      <c r="I38" s="19"/>
      <c r="J38" s="19"/>
      <c r="K38" s="19"/>
      <c r="L38" s="19"/>
      <c r="M38" s="19"/>
      <c r="N38" s="19"/>
      <c r="O38" s="19"/>
      <c r="P38" s="19"/>
    </row>
    <row r="39" spans="1:16" ht="15" customHeight="1">
      <c r="A39" s="894"/>
      <c r="B39" s="894"/>
      <c r="C39" s="894"/>
      <c r="D39" s="894"/>
      <c r="E39" s="894"/>
      <c r="F39" s="478"/>
      <c r="G39" s="478"/>
      <c r="H39" s="478"/>
      <c r="I39" s="892" t="str">
        <f>IFERROR(VLOOKUP(TRUE,'BO AF'!A252:H260,2,FALSE),"")</f>
        <v/>
      </c>
      <c r="J39" s="892"/>
      <c r="K39" s="892"/>
      <c r="L39" s="892"/>
      <c r="M39" s="892"/>
      <c r="N39" s="19"/>
      <c r="O39" s="19"/>
      <c r="P39" s="19"/>
    </row>
    <row r="40" spans="1:16" ht="15" customHeight="1">
      <c r="A40" s="3"/>
      <c r="B40" s="3"/>
      <c r="C40" s="3"/>
      <c r="D40" s="3"/>
      <c r="E40" s="3"/>
      <c r="F40" s="3"/>
      <c r="G40" s="3"/>
      <c r="H40" s="3"/>
      <c r="I40" s="892"/>
      <c r="J40" s="892"/>
      <c r="K40" s="892"/>
      <c r="L40" s="892"/>
      <c r="M40" s="892"/>
      <c r="N40" s="19"/>
      <c r="O40" s="19"/>
      <c r="P40" s="19"/>
    </row>
    <row r="41" spans="1:16" ht="15.75" customHeight="1">
      <c r="A41" s="475" t="e">
        <f>IF('BO AF'!D90&gt;0,1,-1)</f>
        <v>#DIV/0!</v>
      </c>
      <c r="B41" s="972" t="s">
        <v>133</v>
      </c>
      <c r="C41" s="972"/>
      <c r="D41" s="972"/>
      <c r="E41" s="407"/>
      <c r="F41" s="3"/>
      <c r="G41" s="3"/>
      <c r="H41" s="3"/>
      <c r="I41" s="892"/>
      <c r="J41" s="892"/>
      <c r="K41" s="892"/>
      <c r="L41" s="892"/>
      <c r="M41" s="892"/>
      <c r="N41" s="19"/>
      <c r="O41" s="19"/>
      <c r="P41" s="19"/>
    </row>
    <row r="42" spans="1:16">
      <c r="A42" s="30"/>
      <c r="B42" s="30"/>
      <c r="C42" s="30"/>
      <c r="D42" s="3"/>
      <c r="E42" s="3"/>
      <c r="F42" s="3"/>
      <c r="G42" s="3"/>
      <c r="H42" s="3"/>
      <c r="I42" s="892"/>
      <c r="J42" s="892"/>
      <c r="K42" s="892"/>
      <c r="L42" s="892"/>
      <c r="M42" s="892"/>
      <c r="N42" s="19"/>
      <c r="O42" s="19"/>
      <c r="P42" s="19"/>
    </row>
    <row r="43" spans="1:16" ht="15" customHeight="1">
      <c r="A43" s="894" t="str">
        <f>IFERROR('BO AF'!A92:H92,"")</f>
        <v/>
      </c>
      <c r="B43" s="894"/>
      <c r="C43" s="894"/>
      <c r="D43" s="894"/>
      <c r="E43" s="894"/>
      <c r="F43" s="3"/>
      <c r="G43" s="3"/>
      <c r="H43" s="3"/>
      <c r="I43" s="881" t="str">
        <f>IFERROR('BO AF'!A262:H262,"")</f>
        <v/>
      </c>
      <c r="J43" s="881"/>
      <c r="K43" s="881"/>
      <c r="L43" s="881"/>
      <c r="M43" s="881"/>
      <c r="N43" s="19"/>
      <c r="O43" s="19"/>
      <c r="P43" s="19"/>
    </row>
    <row r="44" spans="1:16">
      <c r="A44" s="894"/>
      <c r="B44" s="894"/>
      <c r="C44" s="894"/>
      <c r="D44" s="894"/>
      <c r="E44" s="894"/>
      <c r="F44" s="3"/>
      <c r="G44" s="3"/>
      <c r="H44" s="3"/>
      <c r="I44" s="881"/>
      <c r="J44" s="881"/>
      <c r="K44" s="881"/>
      <c r="L44" s="881"/>
      <c r="M44" s="881"/>
    </row>
    <row r="45" spans="1:16" ht="15.75" customHeight="1">
      <c r="B45" s="33"/>
      <c r="C45" s="33"/>
      <c r="D45" s="33"/>
      <c r="E45" s="33"/>
      <c r="M45" s="36">
        <f>IFERROR('BO AF'!A274,0)</f>
        <v>0</v>
      </c>
      <c r="N45" s="37" t="s">
        <v>139</v>
      </c>
    </row>
    <row r="46" spans="1:16" ht="15" customHeight="1">
      <c r="B46" s="2" t="s">
        <v>45</v>
      </c>
      <c r="C46" s="2"/>
      <c r="D46" s="2"/>
      <c r="E46" s="2"/>
      <c r="F46" s="2"/>
      <c r="G46" s="2"/>
      <c r="H46" s="2"/>
      <c r="N46" s="35"/>
      <c r="O46" s="35"/>
      <c r="P46" s="35"/>
    </row>
    <row r="47" spans="1:16" ht="15" customHeight="1">
      <c r="M47" s="713" t="str">
        <f>IFERROR(VLOOKUP(TRUE,'BO AF'!A276:H282,3,FALSE),"")</f>
        <v/>
      </c>
      <c r="N47" s="713"/>
      <c r="O47" s="713"/>
      <c r="P47" s="713"/>
    </row>
    <row r="48" spans="1:16" ht="15" customHeight="1">
      <c r="A48" s="43">
        <f>IFERROR('BO AF'!E96,"")</f>
        <v>0</v>
      </c>
      <c r="B48" s="20" t="str">
        <f>'BO AF'!A96</f>
        <v xml:space="preserve">Rentabilité économique </v>
      </c>
      <c r="C48" s="21"/>
      <c r="D48" s="22">
        <f>IFERROR('BO AF'!C96,"")</f>
        <v>0</v>
      </c>
      <c r="E48" s="36">
        <f>IFERROR('BO AF'!E121,"")</f>
        <v>0</v>
      </c>
      <c r="F48" s="20" t="s">
        <v>101</v>
      </c>
      <c r="G48" s="21"/>
      <c r="H48" s="514" t="str">
        <f>IFERROR('BO AF'!C121,0)</f>
        <v>Négatif</v>
      </c>
      <c r="M48" s="713"/>
      <c r="N48" s="713"/>
      <c r="O48" s="713"/>
      <c r="P48" s="713"/>
    </row>
    <row r="49" spans="1:16">
      <c r="A49" s="36">
        <f>IFERROR('BO AF'!E105,"")</f>
        <v>0</v>
      </c>
      <c r="B49" s="20" t="str">
        <f>'BO AF'!A105</f>
        <v xml:space="preserve">Rentabilité financière </v>
      </c>
      <c r="C49" s="21"/>
      <c r="D49" s="22">
        <f>IFERROR('BO AF'!C105,"")</f>
        <v>0</v>
      </c>
      <c r="E49" s="36">
        <f>IFERROR('BO AF'!A136,"")</f>
        <v>1</v>
      </c>
      <c r="F49" s="20" t="s">
        <v>100</v>
      </c>
      <c r="G49" s="21"/>
      <c r="H49" s="24">
        <f>IFERROR('BO AF'!C132,"")</f>
        <v>0</v>
      </c>
      <c r="M49" s="713"/>
      <c r="N49" s="713"/>
      <c r="O49" s="713"/>
      <c r="P49" s="713"/>
    </row>
    <row r="50" spans="1:16">
      <c r="B50" s="17"/>
      <c r="C50" s="17"/>
      <c r="D50" s="26"/>
      <c r="F50" s="17"/>
      <c r="G50" s="17"/>
      <c r="H50" s="39"/>
      <c r="M50" s="974" t="str">
        <f>IFERROR(IF('BO AF'!A284=0,"",'BO AF'!A284),"")</f>
        <v/>
      </c>
      <c r="N50" s="974"/>
      <c r="O50" s="974"/>
      <c r="P50" s="974"/>
    </row>
    <row r="51" spans="1:16">
      <c r="A51" s="19" t="str">
        <f>IFERROR('BO AF'!A101:H101,"")</f>
        <v/>
      </c>
      <c r="B51" s="17"/>
      <c r="C51" s="17"/>
      <c r="D51" s="26"/>
      <c r="F51" s="17"/>
      <c r="G51" s="17"/>
      <c r="H51" s="39"/>
      <c r="M51" s="974"/>
      <c r="N51" s="974"/>
      <c r="O51" s="974"/>
      <c r="P51" s="974"/>
    </row>
    <row r="52" spans="1:16">
      <c r="A52" s="19" t="str">
        <f>IFERROR('BO AF'!A111:H111,"")</f>
        <v/>
      </c>
      <c r="H52">
        <v>3</v>
      </c>
      <c r="P52">
        <v>4</v>
      </c>
    </row>
    <row r="53" spans="1:16">
      <c r="B53" s="70"/>
      <c r="C53" s="70"/>
      <c r="D53" s="70"/>
      <c r="E53" s="70"/>
      <c r="F53" s="70"/>
      <c r="G53" s="70"/>
      <c r="H53" s="70"/>
    </row>
    <row r="54" spans="1:16" ht="18.75" customHeight="1">
      <c r="A54" s="28"/>
      <c r="B54" s="50"/>
      <c r="C54" s="52"/>
      <c r="D54" s="53"/>
      <c r="E54" s="51"/>
      <c r="F54" s="50"/>
      <c r="G54" s="51"/>
      <c r="H54" s="28"/>
    </row>
    <row r="55" spans="1:16" ht="15" customHeight="1">
      <c r="A55" s="28"/>
      <c r="B55" s="51"/>
      <c r="C55" s="52"/>
      <c r="D55" s="54"/>
      <c r="E55" s="67"/>
      <c r="F55" s="67"/>
      <c r="G55" s="55"/>
      <c r="H55" s="28"/>
    </row>
    <row r="56" spans="1:16" ht="15" customHeight="1">
      <c r="A56" s="28"/>
      <c r="B56" s="58"/>
      <c r="C56" s="59"/>
      <c r="D56" s="60"/>
      <c r="E56" s="59"/>
      <c r="F56" s="59"/>
      <c r="G56" s="61"/>
      <c r="H56" s="28"/>
    </row>
    <row r="57" spans="1:16" ht="15" customHeight="1">
      <c r="A57" s="28"/>
      <c r="B57" s="51"/>
      <c r="C57" s="52"/>
      <c r="D57" s="56"/>
      <c r="E57" s="52"/>
      <c r="F57" s="52"/>
      <c r="G57" s="62"/>
      <c r="H57" s="28"/>
    </row>
    <row r="58" spans="1:16">
      <c r="A58" s="28"/>
      <c r="B58" s="51"/>
      <c r="C58" s="52"/>
      <c r="D58" s="57"/>
      <c r="E58" s="51"/>
      <c r="F58" s="51"/>
      <c r="G58" s="51"/>
      <c r="H58" s="28"/>
    </row>
    <row r="59" spans="1:16">
      <c r="A59" s="28"/>
      <c r="B59" s="28"/>
      <c r="C59" s="28"/>
      <c r="D59" s="28"/>
      <c r="E59" s="28"/>
      <c r="F59" s="28"/>
      <c r="G59" s="28"/>
      <c r="H59" s="28"/>
    </row>
    <row r="60" spans="1:16" ht="15" customHeight="1">
      <c r="A60" s="28"/>
      <c r="B60" s="28"/>
      <c r="C60" s="28"/>
      <c r="D60" s="28"/>
      <c r="E60" s="28"/>
      <c r="F60" s="28"/>
      <c r="G60" s="28"/>
      <c r="H60" s="28"/>
    </row>
    <row r="61" spans="1:16">
      <c r="A61" s="28"/>
      <c r="B61" s="50"/>
      <c r="C61" s="52"/>
      <c r="D61" s="53"/>
      <c r="E61" s="51"/>
      <c r="F61" s="50"/>
      <c r="G61" s="51"/>
      <c r="H61" s="28"/>
    </row>
    <row r="62" spans="1:16" ht="15" customHeight="1">
      <c r="A62" s="28"/>
      <c r="C62" s="52"/>
      <c r="D62" s="54"/>
      <c r="E62" s="67"/>
      <c r="F62" s="67"/>
      <c r="G62" s="55"/>
      <c r="H62" s="28"/>
    </row>
    <row r="63" spans="1:16" ht="15" customHeight="1">
      <c r="A63" s="28"/>
      <c r="B63" s="51"/>
      <c r="C63" s="52"/>
      <c r="D63" s="63"/>
      <c r="E63" s="52"/>
      <c r="F63" s="52"/>
      <c r="G63" s="64"/>
      <c r="H63" s="28"/>
    </row>
    <row r="64" spans="1:16" ht="15" customHeight="1">
      <c r="A64" s="28"/>
      <c r="B64" s="51"/>
      <c r="C64" s="52"/>
      <c r="D64" s="63"/>
      <c r="E64" s="52"/>
      <c r="F64" s="52"/>
      <c r="G64" s="64"/>
      <c r="H64" s="28"/>
    </row>
    <row r="65" spans="1:8">
      <c r="A65" s="28"/>
      <c r="B65" s="51"/>
      <c r="C65" s="52"/>
      <c r="D65" s="63"/>
      <c r="E65" s="52"/>
      <c r="F65" s="52"/>
      <c r="G65" s="64"/>
      <c r="H65" s="28"/>
    </row>
    <row r="66" spans="1:8" ht="15" customHeight="1">
      <c r="A66" s="28"/>
      <c r="B66" s="51"/>
      <c r="C66" s="52"/>
      <c r="D66" s="63"/>
      <c r="E66" s="52"/>
      <c r="F66" s="52"/>
      <c r="G66" s="64"/>
      <c r="H66" s="28"/>
    </row>
    <row r="67" spans="1:8" ht="15" customHeight="1">
      <c r="A67" s="28"/>
      <c r="B67" s="51"/>
      <c r="C67" s="52"/>
      <c r="D67" s="63"/>
      <c r="E67" s="52"/>
      <c r="F67" s="52"/>
      <c r="G67" s="64"/>
      <c r="H67" s="28"/>
    </row>
    <row r="68" spans="1:8">
      <c r="A68" s="28"/>
      <c r="B68" s="51"/>
      <c r="C68" s="52"/>
      <c r="D68" s="63"/>
      <c r="E68" s="52"/>
      <c r="F68" s="52"/>
      <c r="G68" s="64"/>
      <c r="H68" s="28"/>
    </row>
    <row r="69" spans="1:8">
      <c r="A69" s="28"/>
      <c r="B69" s="51"/>
      <c r="C69" s="52"/>
      <c r="D69" s="65"/>
      <c r="E69" s="52"/>
      <c r="F69" s="52"/>
      <c r="G69" s="62"/>
      <c r="H69" s="28"/>
    </row>
    <row r="70" spans="1:8">
      <c r="A70" s="28"/>
      <c r="B70" s="51"/>
      <c r="C70" s="52"/>
      <c r="D70" s="66"/>
      <c r="E70" s="51"/>
      <c r="F70" s="51"/>
      <c r="G70" s="51"/>
      <c r="H70" s="28"/>
    </row>
    <row r="71" spans="1:8">
      <c r="A71" s="19"/>
      <c r="B71" s="19"/>
      <c r="C71" s="19"/>
      <c r="D71" s="19"/>
      <c r="E71" s="19"/>
      <c r="F71" s="19"/>
      <c r="G71" s="19"/>
      <c r="H71" s="19"/>
    </row>
    <row r="72" spans="1:8">
      <c r="A72" s="19"/>
      <c r="B72" s="19"/>
      <c r="C72" s="19"/>
      <c r="D72" s="19"/>
      <c r="E72" s="19"/>
      <c r="F72" s="19"/>
      <c r="G72" s="19"/>
      <c r="H72" s="19"/>
    </row>
    <row r="73" spans="1:8">
      <c r="A73" s="19"/>
      <c r="B73" s="19"/>
      <c r="C73" s="19"/>
      <c r="D73" s="19"/>
      <c r="E73" s="19"/>
      <c r="F73" s="19"/>
      <c r="G73" s="19"/>
      <c r="H73" s="19"/>
    </row>
    <row r="74" spans="1:8" ht="15" customHeight="1">
      <c r="A74" s="19"/>
      <c r="B74" s="19"/>
      <c r="C74" s="19"/>
      <c r="D74" s="19"/>
      <c r="E74" s="19"/>
      <c r="F74" s="19"/>
      <c r="G74" s="19"/>
      <c r="H74" s="19"/>
    </row>
    <row r="75" spans="1:8" ht="15" customHeight="1">
      <c r="A75" s="19"/>
      <c r="B75" s="19"/>
      <c r="C75" s="19"/>
      <c r="D75" s="19"/>
      <c r="E75" s="19"/>
      <c r="F75" s="19"/>
      <c r="G75" s="19"/>
      <c r="H75" s="19"/>
    </row>
    <row r="76" spans="1:8" ht="15" customHeight="1">
      <c r="A76" s="19"/>
      <c r="B76" s="19"/>
      <c r="C76" s="19"/>
      <c r="D76" s="19"/>
      <c r="E76" s="19"/>
      <c r="F76" s="19"/>
      <c r="G76" s="19"/>
      <c r="H76" s="19"/>
    </row>
    <row r="77" spans="1:8">
      <c r="A77" s="19"/>
      <c r="B77" s="19"/>
      <c r="C77" s="19"/>
      <c r="D77" s="19"/>
      <c r="E77" s="19"/>
      <c r="F77" s="19"/>
      <c r="G77" s="19"/>
      <c r="H77" s="19"/>
    </row>
    <row r="78" spans="1:8" ht="15" customHeight="1">
      <c r="A78" s="19"/>
      <c r="B78" s="19"/>
      <c r="C78" s="19"/>
      <c r="D78" s="19"/>
      <c r="E78" s="19"/>
      <c r="F78" s="19"/>
      <c r="G78" s="19"/>
      <c r="H78" s="19"/>
    </row>
    <row r="79" spans="1:8">
      <c r="A79" s="19"/>
      <c r="B79" s="19"/>
      <c r="C79" s="19"/>
      <c r="D79" s="19"/>
      <c r="E79" s="19"/>
      <c r="F79" s="19"/>
      <c r="G79" s="19"/>
      <c r="H79" s="19"/>
    </row>
    <row r="80" spans="1:8">
      <c r="A80" s="19"/>
      <c r="B80" s="19"/>
      <c r="C80" s="19"/>
      <c r="D80" s="19"/>
      <c r="E80" s="19"/>
      <c r="F80" s="19"/>
      <c r="G80" s="19"/>
      <c r="H80" s="19"/>
    </row>
    <row r="81" spans="1:8">
      <c r="A81" s="19"/>
      <c r="B81" s="19"/>
      <c r="C81" s="19"/>
      <c r="D81" s="19"/>
      <c r="E81" s="19"/>
      <c r="F81" s="19"/>
      <c r="G81" s="19"/>
      <c r="H81" s="19"/>
    </row>
    <row r="82" spans="1:8" ht="15" customHeight="1">
      <c r="A82" s="19"/>
      <c r="B82" s="19"/>
      <c r="D82" s="19"/>
      <c r="E82" s="19"/>
      <c r="F82" s="19"/>
      <c r="G82" s="19"/>
      <c r="H82" s="19"/>
    </row>
    <row r="83" spans="1:8" ht="15" customHeight="1">
      <c r="A83" s="19"/>
      <c r="B83" s="19"/>
      <c r="C83" s="19"/>
      <c r="D83" s="19"/>
      <c r="E83" s="19"/>
      <c r="F83" s="19"/>
      <c r="G83" s="19"/>
      <c r="H83" s="19"/>
    </row>
    <row r="84" spans="1:8" ht="15" customHeight="1">
      <c r="A84" s="19"/>
      <c r="B84" s="19"/>
      <c r="C84" s="19"/>
      <c r="D84" s="19"/>
      <c r="E84" s="19"/>
      <c r="F84" s="19"/>
      <c r="G84" s="19"/>
      <c r="H84" s="19"/>
    </row>
    <row r="85" spans="1:8" ht="15" customHeight="1">
      <c r="A85" s="19"/>
      <c r="B85" s="19"/>
      <c r="C85" s="19"/>
      <c r="D85" s="19"/>
      <c r="E85" s="19"/>
      <c r="F85" s="19"/>
      <c r="G85" s="19"/>
      <c r="H85" s="19"/>
    </row>
    <row r="86" spans="1:8">
      <c r="A86" s="19"/>
      <c r="B86" s="19"/>
      <c r="C86" s="19"/>
      <c r="D86" s="19"/>
      <c r="E86" s="19"/>
      <c r="F86" s="19"/>
      <c r="G86" s="19"/>
      <c r="H86" s="19"/>
    </row>
    <row r="87" spans="1:8">
      <c r="A87" s="19"/>
      <c r="B87" s="19"/>
      <c r="C87" s="19"/>
      <c r="D87" s="19"/>
      <c r="E87" s="19"/>
      <c r="F87" s="19"/>
      <c r="G87" s="19"/>
      <c r="H87" s="19"/>
    </row>
    <row r="88" spans="1:8">
      <c r="A88" s="19"/>
      <c r="B88" s="19"/>
      <c r="C88" s="19"/>
      <c r="D88" s="19"/>
      <c r="E88" s="19"/>
      <c r="F88" s="19"/>
      <c r="G88" s="19"/>
      <c r="H88" s="19"/>
    </row>
    <row r="89" spans="1:8">
      <c r="A89" s="19"/>
      <c r="B89" s="19"/>
      <c r="C89" s="19"/>
      <c r="D89" s="19"/>
      <c r="E89" s="19"/>
      <c r="F89" s="19"/>
      <c r="G89" s="19"/>
      <c r="H89" s="19"/>
    </row>
    <row r="90" spans="1:8">
      <c r="A90" s="19"/>
      <c r="B90" s="19"/>
      <c r="C90" s="19"/>
      <c r="D90" s="19"/>
      <c r="E90" s="19"/>
      <c r="F90" s="19"/>
      <c r="G90" s="19"/>
      <c r="H90" s="19"/>
    </row>
    <row r="91" spans="1:8">
      <c r="A91" s="19"/>
      <c r="B91" s="19"/>
      <c r="C91" s="19"/>
      <c r="D91" s="19"/>
      <c r="E91" s="19"/>
      <c r="F91" s="19"/>
      <c r="G91" s="19"/>
      <c r="H91" s="19"/>
    </row>
    <row r="92" spans="1:8">
      <c r="A92" s="19"/>
      <c r="B92" s="19"/>
      <c r="C92" s="19"/>
      <c r="D92" s="19"/>
      <c r="E92" s="19"/>
      <c r="F92" s="19"/>
      <c r="G92" s="19"/>
      <c r="H92" s="19"/>
    </row>
    <row r="93" spans="1:8" ht="15" customHeight="1">
      <c r="A93" s="19"/>
      <c r="B93" s="19"/>
      <c r="C93" s="19"/>
      <c r="D93" s="19"/>
      <c r="E93" s="19"/>
      <c r="F93" s="19"/>
      <c r="G93" s="19"/>
      <c r="H93" s="19"/>
    </row>
    <row r="94" spans="1:8">
      <c r="A94" s="19"/>
      <c r="B94" s="19"/>
      <c r="C94" s="19"/>
      <c r="D94" s="19"/>
      <c r="E94" s="19"/>
      <c r="F94" s="19"/>
      <c r="G94" s="19"/>
      <c r="H94" s="19"/>
    </row>
    <row r="95" spans="1:8" ht="15" customHeight="1">
      <c r="A95" s="19"/>
      <c r="B95" s="19"/>
      <c r="C95" s="19"/>
      <c r="D95" s="19"/>
      <c r="E95" s="19"/>
      <c r="F95" s="19"/>
      <c r="G95" s="19"/>
      <c r="H95" s="19"/>
    </row>
    <row r="96" spans="1:8" ht="15" customHeight="1">
      <c r="A96" s="19"/>
      <c r="B96" s="19"/>
      <c r="C96" s="19"/>
      <c r="D96" s="19"/>
      <c r="E96" s="19"/>
      <c r="F96" s="19"/>
      <c r="G96" s="19"/>
      <c r="H96" s="19"/>
    </row>
    <row r="97" spans="1:8">
      <c r="A97" s="19"/>
      <c r="B97" s="19"/>
      <c r="C97" s="19"/>
      <c r="D97" s="19"/>
      <c r="E97" s="19"/>
      <c r="F97" s="19"/>
      <c r="G97" s="19"/>
      <c r="H97" s="19"/>
    </row>
    <row r="98" spans="1:8">
      <c r="A98" s="19"/>
      <c r="B98" s="19"/>
      <c r="C98" s="19"/>
      <c r="D98" s="19"/>
      <c r="E98" s="19"/>
      <c r="F98" s="19"/>
      <c r="G98" s="19"/>
      <c r="H98" s="19"/>
    </row>
    <row r="99" spans="1:8">
      <c r="A99" s="19"/>
      <c r="B99" s="19"/>
      <c r="D99" s="19"/>
      <c r="E99" s="19"/>
      <c r="F99" s="19"/>
      <c r="G99" s="19"/>
      <c r="H99" s="19"/>
    </row>
    <row r="100" spans="1:8">
      <c r="A100" s="19"/>
      <c r="B100" s="19"/>
      <c r="C100" s="19"/>
      <c r="D100" s="19"/>
      <c r="E100" s="19"/>
      <c r="F100" s="19"/>
      <c r="G100" s="19"/>
      <c r="H100" s="19"/>
    </row>
    <row r="101" spans="1:8">
      <c r="A101" s="19"/>
      <c r="B101" s="19"/>
      <c r="C101" s="19"/>
      <c r="D101" s="19"/>
      <c r="E101" s="19"/>
      <c r="F101" s="19"/>
      <c r="G101" s="19"/>
      <c r="H101" s="19"/>
    </row>
    <row r="102" spans="1:8">
      <c r="A102" s="19"/>
      <c r="B102" s="19"/>
      <c r="C102" s="19"/>
      <c r="D102" s="19"/>
      <c r="E102" s="19"/>
      <c r="F102" s="19"/>
      <c r="G102" s="19"/>
      <c r="H102" s="19"/>
    </row>
    <row r="103" spans="1:8">
      <c r="A103" s="19"/>
      <c r="B103" s="19"/>
      <c r="C103" s="19"/>
      <c r="D103" s="19"/>
      <c r="E103" s="19"/>
      <c r="F103" s="19"/>
      <c r="G103" s="19"/>
      <c r="H103" s="19"/>
    </row>
    <row r="104" spans="1:8" ht="15" customHeight="1">
      <c r="A104" s="19"/>
      <c r="B104" s="19"/>
      <c r="C104" s="19"/>
      <c r="D104" s="19"/>
      <c r="E104" s="19"/>
      <c r="F104" s="19"/>
      <c r="G104" s="19"/>
      <c r="H104" s="19"/>
    </row>
    <row r="105" spans="1:8">
      <c r="A105" s="19"/>
      <c r="B105" s="19"/>
      <c r="C105" s="19"/>
      <c r="D105" s="19"/>
      <c r="E105" s="19"/>
      <c r="F105" s="19"/>
      <c r="G105" s="19"/>
      <c r="H105" s="19"/>
    </row>
    <row r="106" spans="1:8" ht="15" customHeight="1">
      <c r="A106" s="19"/>
      <c r="B106" s="19"/>
      <c r="C106" s="19"/>
      <c r="D106" s="19"/>
      <c r="E106" s="19"/>
      <c r="F106" s="19"/>
      <c r="G106" s="19"/>
      <c r="H106" s="19"/>
    </row>
    <row r="107" spans="1:8">
      <c r="A107" s="19"/>
      <c r="B107" s="19"/>
      <c r="C107" s="19"/>
      <c r="D107" s="19"/>
      <c r="E107" s="19"/>
      <c r="F107" s="19"/>
      <c r="G107" s="19"/>
      <c r="H107" s="19"/>
    </row>
    <row r="108" spans="1:8">
      <c r="A108" s="19"/>
      <c r="B108" s="19"/>
      <c r="C108" s="19"/>
      <c r="D108" s="19"/>
      <c r="E108" s="19"/>
      <c r="F108" s="19"/>
      <c r="G108" s="19"/>
      <c r="H108" s="19"/>
    </row>
    <row r="109" spans="1:8">
      <c r="A109" s="19"/>
      <c r="B109" s="19"/>
      <c r="C109" s="19"/>
      <c r="D109" s="19"/>
      <c r="E109" s="19"/>
      <c r="F109" s="19"/>
      <c r="G109" s="19"/>
      <c r="H109" s="19"/>
    </row>
    <row r="110" spans="1:8">
      <c r="A110" s="19"/>
      <c r="B110" s="19"/>
      <c r="C110" s="19"/>
      <c r="D110" s="19"/>
      <c r="E110" s="19"/>
      <c r="F110" s="19"/>
      <c r="G110" s="19"/>
      <c r="H110" s="19"/>
    </row>
    <row r="111" spans="1:8">
      <c r="A111" s="19"/>
      <c r="B111" s="19"/>
      <c r="C111" s="19"/>
      <c r="D111" s="19"/>
      <c r="E111" s="19"/>
      <c r="F111" s="19"/>
      <c r="G111" s="19"/>
      <c r="H111" s="19"/>
    </row>
    <row r="112" spans="1:8">
      <c r="A112" s="19"/>
      <c r="B112" s="19"/>
      <c r="C112" s="19"/>
      <c r="D112" s="19"/>
      <c r="E112" s="19"/>
      <c r="F112" s="19"/>
      <c r="G112" s="19"/>
      <c r="H112" s="19"/>
    </row>
    <row r="113" spans="1:8">
      <c r="A113" s="19"/>
      <c r="B113" s="19"/>
      <c r="C113" s="19"/>
      <c r="D113" s="19"/>
      <c r="E113" s="19"/>
      <c r="F113" s="19"/>
      <c r="G113" s="19"/>
      <c r="H113" s="19"/>
    </row>
    <row r="114" spans="1:8">
      <c r="A114" s="19"/>
      <c r="B114" s="19"/>
      <c r="C114" s="19"/>
      <c r="D114" s="19"/>
      <c r="E114" s="19"/>
      <c r="F114" s="19"/>
      <c r="G114" s="19"/>
      <c r="H114" s="19"/>
    </row>
    <row r="115" spans="1:8">
      <c r="A115" s="19"/>
      <c r="B115" s="19"/>
      <c r="C115" s="19"/>
      <c r="D115" s="19"/>
      <c r="E115" s="19"/>
      <c r="F115" s="19"/>
      <c r="G115" s="19"/>
      <c r="H115" s="19"/>
    </row>
    <row r="116" spans="1:8">
      <c r="A116" s="19"/>
      <c r="B116" s="19"/>
      <c r="C116" s="19"/>
      <c r="D116" s="19"/>
      <c r="E116" s="19"/>
      <c r="F116" s="19"/>
      <c r="G116" s="19"/>
      <c r="H116" s="19"/>
    </row>
    <row r="117" spans="1:8">
      <c r="A117" s="19"/>
      <c r="B117" s="19"/>
      <c r="D117" s="19"/>
      <c r="E117" s="19"/>
      <c r="F117" s="19"/>
      <c r="G117" s="19"/>
      <c r="H117" s="19"/>
    </row>
    <row r="118" spans="1:8">
      <c r="A118" s="19"/>
      <c r="B118" s="19"/>
      <c r="C118" s="19"/>
      <c r="D118" s="19"/>
      <c r="E118" s="19"/>
      <c r="F118" s="19"/>
      <c r="G118" s="19"/>
      <c r="H118" s="19"/>
    </row>
    <row r="119" spans="1:8">
      <c r="A119" s="19"/>
      <c r="B119" s="19"/>
      <c r="C119" s="19"/>
      <c r="D119" s="19"/>
      <c r="E119" s="19"/>
      <c r="F119" s="19"/>
      <c r="G119" s="19"/>
      <c r="H119" s="19"/>
    </row>
    <row r="120" spans="1:8" ht="15" customHeight="1">
      <c r="A120" s="19"/>
      <c r="B120" s="19"/>
      <c r="C120" s="19"/>
      <c r="D120" s="19"/>
      <c r="E120" s="19"/>
      <c r="F120" s="19"/>
      <c r="G120" s="19"/>
      <c r="H120" s="19"/>
    </row>
    <row r="121" spans="1:8">
      <c r="A121" s="19"/>
      <c r="B121" s="19"/>
      <c r="C121" s="19"/>
      <c r="D121" s="19"/>
      <c r="E121" s="19"/>
      <c r="F121" s="19"/>
      <c r="G121" s="19"/>
      <c r="H121" s="19"/>
    </row>
    <row r="122" spans="1:8" ht="15" customHeight="1">
      <c r="A122" s="19"/>
      <c r="B122" s="19"/>
      <c r="C122" s="19"/>
      <c r="D122" s="19"/>
      <c r="E122" s="19"/>
      <c r="F122" s="19"/>
      <c r="G122" s="19"/>
      <c r="H122" s="19"/>
    </row>
    <row r="123" spans="1:8" ht="15" customHeight="1">
      <c r="A123" s="19"/>
      <c r="B123" s="19"/>
      <c r="C123" s="19"/>
      <c r="D123" s="19"/>
      <c r="E123" s="19"/>
      <c r="F123" s="19"/>
      <c r="G123" s="19"/>
      <c r="H123" s="19"/>
    </row>
    <row r="124" spans="1:8">
      <c r="A124" s="19"/>
      <c r="B124" s="19"/>
      <c r="C124" s="19"/>
      <c r="D124" s="19"/>
      <c r="E124" s="19"/>
      <c r="F124" s="19"/>
      <c r="G124" s="19"/>
      <c r="H124" s="19"/>
    </row>
    <row r="125" spans="1:8">
      <c r="A125" s="19"/>
      <c r="B125" s="19"/>
      <c r="C125" s="19"/>
      <c r="D125" s="19"/>
      <c r="E125" s="19"/>
      <c r="F125" s="19"/>
      <c r="G125" s="19"/>
      <c r="H125" s="19"/>
    </row>
    <row r="126" spans="1:8" ht="15" customHeight="1">
      <c r="A126" s="19"/>
      <c r="B126" s="19"/>
      <c r="C126" s="19"/>
      <c r="D126" s="19"/>
      <c r="E126" s="19"/>
      <c r="F126" s="19"/>
      <c r="G126" s="19"/>
      <c r="H126" s="19"/>
    </row>
    <row r="127" spans="1:8" ht="15" customHeight="1">
      <c r="A127" s="19"/>
      <c r="B127" s="19"/>
      <c r="C127" s="19"/>
      <c r="D127" s="19"/>
      <c r="E127" s="19"/>
      <c r="F127" s="19"/>
      <c r="G127" s="19"/>
      <c r="H127" s="19"/>
    </row>
    <row r="128" spans="1:8" ht="15" customHeight="1">
      <c r="A128" s="19"/>
      <c r="B128" s="19"/>
      <c r="C128" s="19"/>
      <c r="D128" s="19"/>
      <c r="E128" s="19"/>
      <c r="F128" s="19"/>
      <c r="G128" s="19"/>
      <c r="H128" s="19"/>
    </row>
    <row r="129" spans="1:8" ht="15" customHeight="1">
      <c r="A129" s="19"/>
      <c r="B129" s="19"/>
      <c r="C129" s="19"/>
      <c r="D129" s="19"/>
      <c r="E129" s="19"/>
      <c r="F129" s="19"/>
      <c r="G129" s="19"/>
      <c r="H129" s="19"/>
    </row>
    <row r="130" spans="1:8" ht="15" customHeight="1">
      <c r="A130" s="19"/>
      <c r="B130" s="19"/>
      <c r="C130" s="19"/>
      <c r="D130" s="19"/>
      <c r="E130" s="19"/>
      <c r="F130" s="19"/>
      <c r="G130" s="19"/>
      <c r="H130" s="19"/>
    </row>
    <row r="131" spans="1:8" ht="15" customHeight="1">
      <c r="A131" s="19"/>
      <c r="B131" s="19"/>
      <c r="C131" s="19"/>
      <c r="D131" s="19"/>
      <c r="E131" s="19"/>
      <c r="F131" s="19"/>
      <c r="G131" s="19"/>
      <c r="H131" s="19"/>
    </row>
    <row r="132" spans="1:8" ht="15" customHeight="1">
      <c r="A132" s="19"/>
      <c r="B132" s="19"/>
      <c r="C132" s="19"/>
      <c r="D132" s="19"/>
      <c r="E132" s="19"/>
      <c r="F132" s="19"/>
      <c r="G132" s="19"/>
      <c r="H132" s="19"/>
    </row>
    <row r="133" spans="1:8" ht="15" customHeight="1">
      <c r="A133" s="19"/>
      <c r="B133" s="19"/>
      <c r="C133" s="19"/>
      <c r="D133" s="19"/>
      <c r="E133" s="19"/>
      <c r="F133" s="19"/>
      <c r="G133" s="19"/>
      <c r="H133" s="19"/>
    </row>
    <row r="134" spans="1:8" ht="15" customHeight="1">
      <c r="A134" s="19"/>
      <c r="B134" s="19"/>
      <c r="C134" s="19"/>
      <c r="D134" s="19"/>
      <c r="E134" s="19"/>
      <c r="F134" s="19"/>
      <c r="G134" s="19"/>
      <c r="H134" s="19"/>
    </row>
    <row r="135" spans="1:8" ht="15" customHeight="1">
      <c r="A135" s="19"/>
      <c r="B135" s="19"/>
      <c r="C135" s="19"/>
      <c r="D135" s="19"/>
      <c r="E135" s="19"/>
      <c r="F135" s="19"/>
      <c r="G135" s="19"/>
      <c r="H135" s="19"/>
    </row>
    <row r="136" spans="1:8" ht="15" customHeight="1">
      <c r="A136" s="19"/>
      <c r="B136" s="19"/>
      <c r="C136" s="19"/>
      <c r="D136" s="19"/>
      <c r="E136" s="19"/>
      <c r="F136" s="19"/>
      <c r="G136" s="19"/>
      <c r="H136" s="19"/>
    </row>
    <row r="137" spans="1:8" ht="15" customHeight="1">
      <c r="A137" s="19"/>
      <c r="B137" s="19"/>
      <c r="C137" s="19"/>
      <c r="D137" s="19"/>
      <c r="E137" s="19"/>
      <c r="F137" s="19"/>
      <c r="G137" s="19"/>
      <c r="H137" s="19"/>
    </row>
    <row r="138" spans="1:8" ht="15" customHeight="1">
      <c r="A138" s="19"/>
      <c r="B138" s="19"/>
      <c r="C138" s="19"/>
      <c r="D138" s="19"/>
      <c r="E138" s="19"/>
      <c r="F138" s="19"/>
      <c r="G138" s="19"/>
      <c r="H138" s="19"/>
    </row>
    <row r="139" spans="1:8" ht="15" customHeight="1">
      <c r="A139" s="19"/>
      <c r="B139" s="19"/>
      <c r="C139" s="19"/>
      <c r="D139" s="19"/>
      <c r="E139" s="19"/>
      <c r="F139" s="19"/>
      <c r="G139" s="19"/>
      <c r="H139" s="19"/>
    </row>
    <row r="140" spans="1:8" ht="15" customHeight="1">
      <c r="A140" s="19"/>
      <c r="B140" s="19"/>
      <c r="C140" s="19"/>
      <c r="D140" s="19"/>
      <c r="E140" s="19"/>
      <c r="F140" s="19"/>
      <c r="G140" s="19"/>
      <c r="H140" s="19"/>
    </row>
    <row r="141" spans="1:8" ht="15" customHeight="1">
      <c r="A141" s="19"/>
      <c r="B141" s="19"/>
      <c r="C141" s="19"/>
      <c r="D141" s="19"/>
      <c r="E141" s="19"/>
      <c r="F141" s="19"/>
      <c r="G141" s="19"/>
      <c r="H141" s="19"/>
    </row>
    <row r="142" spans="1:8" ht="15" customHeight="1">
      <c r="A142" s="19"/>
      <c r="B142" s="19"/>
      <c r="C142" s="19"/>
      <c r="D142" s="19"/>
      <c r="E142" s="19"/>
      <c r="F142" s="19"/>
      <c r="G142" s="19"/>
      <c r="H142" s="19"/>
    </row>
    <row r="143" spans="1:8" ht="15" customHeight="1">
      <c r="A143" s="19"/>
      <c r="B143" s="19"/>
      <c r="C143" s="19"/>
      <c r="D143" s="19"/>
      <c r="E143" s="19"/>
      <c r="F143" s="19"/>
      <c r="G143" s="19"/>
      <c r="H143" s="19"/>
    </row>
    <row r="144" spans="1:8" ht="15" customHeight="1">
      <c r="A144" s="19"/>
      <c r="B144" s="19"/>
      <c r="C144" s="19"/>
      <c r="D144" s="19"/>
      <c r="E144" s="19"/>
      <c r="F144" s="19"/>
      <c r="G144" s="19"/>
      <c r="H144" s="19"/>
    </row>
    <row r="145" spans="1:8" ht="15" customHeight="1">
      <c r="A145" s="19"/>
      <c r="B145" s="19"/>
      <c r="C145" s="19"/>
      <c r="D145" s="19"/>
      <c r="E145" s="19"/>
      <c r="F145" s="19"/>
      <c r="G145" s="19"/>
      <c r="H145" s="19"/>
    </row>
    <row r="146" spans="1:8" ht="15" customHeight="1">
      <c r="A146" s="19"/>
      <c r="B146" s="19"/>
      <c r="C146" s="19"/>
      <c r="D146" s="19"/>
      <c r="E146" s="19"/>
      <c r="F146" s="19"/>
      <c r="G146" s="19"/>
      <c r="H146" s="19"/>
    </row>
    <row r="147" spans="1:8" ht="15" customHeight="1">
      <c r="A147" s="19"/>
      <c r="B147" s="19"/>
      <c r="C147" s="19"/>
      <c r="D147" s="19"/>
      <c r="E147" s="19"/>
      <c r="F147" s="19"/>
      <c r="G147" s="19"/>
      <c r="H147" s="19"/>
    </row>
    <row r="148" spans="1:8" ht="15" customHeight="1">
      <c r="A148" s="19"/>
      <c r="B148" s="19"/>
      <c r="C148" s="19"/>
      <c r="D148" s="19"/>
      <c r="E148" s="19"/>
      <c r="F148" s="19"/>
      <c r="G148" s="19"/>
      <c r="H148" s="19"/>
    </row>
    <row r="149" spans="1:8" ht="15" customHeight="1">
      <c r="A149" s="19"/>
      <c r="B149" s="19"/>
      <c r="C149" s="19"/>
      <c r="D149" s="19"/>
      <c r="E149" s="19"/>
      <c r="F149" s="19"/>
      <c r="G149" s="19"/>
      <c r="H149" s="19"/>
    </row>
    <row r="150" spans="1:8" ht="15" customHeight="1">
      <c r="A150" s="19"/>
      <c r="B150" s="19"/>
      <c r="C150" s="19"/>
      <c r="D150" s="19"/>
      <c r="E150" s="19"/>
      <c r="F150" s="19"/>
      <c r="G150" s="19"/>
      <c r="H150" s="19"/>
    </row>
    <row r="151" spans="1:8" ht="15" customHeight="1">
      <c r="A151" s="19"/>
      <c r="B151" s="19"/>
      <c r="C151" s="19"/>
      <c r="D151" s="19"/>
      <c r="E151" s="19"/>
      <c r="F151" s="19"/>
      <c r="G151" s="19"/>
      <c r="H151" s="19"/>
    </row>
    <row r="152" spans="1:8" ht="15" customHeight="1"/>
    <row r="160" spans="1:8" ht="15" customHeight="1"/>
    <row r="164" ht="15" customHeight="1"/>
    <row r="165" ht="15" customHeight="1"/>
    <row r="167" ht="15" customHeight="1"/>
    <row r="170" ht="15" customHeight="1"/>
    <row r="171" ht="15" customHeight="1"/>
    <row r="173" ht="15" customHeight="1"/>
  </sheetData>
  <sheetProtection password="CF95" sheet="1" objects="1" scenarios="1"/>
  <mergeCells count="30">
    <mergeCell ref="I1:P2"/>
    <mergeCell ref="I39:M42"/>
    <mergeCell ref="I43:M44"/>
    <mergeCell ref="A36:E37"/>
    <mergeCell ref="I3:P4"/>
    <mergeCell ref="I15:P16"/>
    <mergeCell ref="N30:P30"/>
    <mergeCell ref="M32:P34"/>
    <mergeCell ref="E9:H9"/>
    <mergeCell ref="B18:E18"/>
    <mergeCell ref="E25:H25"/>
    <mergeCell ref="B2:H4"/>
    <mergeCell ref="D11:H13"/>
    <mergeCell ref="D14:H15"/>
    <mergeCell ref="A43:E44"/>
    <mergeCell ref="D16:H16"/>
    <mergeCell ref="M47:P49"/>
    <mergeCell ref="M50:P51"/>
    <mergeCell ref="I17:P18"/>
    <mergeCell ref="I23:P24"/>
    <mergeCell ref="I19:P20"/>
    <mergeCell ref="I21:P22"/>
    <mergeCell ref="I25:P26"/>
    <mergeCell ref="A20:E21"/>
    <mergeCell ref="D27:H29"/>
    <mergeCell ref="D30:H31"/>
    <mergeCell ref="D32:H32"/>
    <mergeCell ref="B41:D41"/>
    <mergeCell ref="A38:E39"/>
    <mergeCell ref="A22:E23"/>
  </mergeCells>
  <conditionalFormatting sqref="K7">
    <cfRule type="iconSet" priority="65">
      <iconSet iconSet="3TrafficLights2">
        <cfvo type="percent" val="0"/>
        <cfvo type="percent" val="33"/>
        <cfvo type="percent" val="67"/>
      </iconSet>
    </cfRule>
  </conditionalFormatting>
  <conditionalFormatting sqref="D9">
    <cfRule type="iconSet" priority="52">
      <iconSet iconSet="3Symbols" showValue="0">
        <cfvo type="percent" val="0"/>
        <cfvo type="num" val="0"/>
        <cfvo type="num" val="1"/>
      </iconSet>
    </cfRule>
  </conditionalFormatting>
  <conditionalFormatting sqref="D25">
    <cfRule type="iconSet" priority="50">
      <iconSet iconSet="3Symbols" showValue="0">
        <cfvo type="percent" val="0"/>
        <cfvo type="num" val="0"/>
        <cfvo type="num" val="1"/>
      </iconSet>
    </cfRule>
  </conditionalFormatting>
  <conditionalFormatting sqref="A48">
    <cfRule type="iconSet" priority="49">
      <iconSet iconSet="3Symbols" showValue="0">
        <cfvo type="percent" val="0"/>
        <cfvo type="num" val="0"/>
        <cfvo type="num" val="1"/>
      </iconSet>
    </cfRule>
  </conditionalFormatting>
  <conditionalFormatting sqref="A49">
    <cfRule type="iconSet" priority="48">
      <iconSet iconSet="3Symbols" showValue="0">
        <cfvo type="percent" val="0"/>
        <cfvo type="num" val="0"/>
        <cfvo type="num" val="1"/>
      </iconSet>
    </cfRule>
  </conditionalFormatting>
  <conditionalFormatting sqref="E48">
    <cfRule type="iconSet" priority="47">
      <iconSet iconSet="3Symbols" showValue="0">
        <cfvo type="percent" val="0"/>
        <cfvo type="num" val="0"/>
        <cfvo type="num" val="1"/>
      </iconSet>
    </cfRule>
  </conditionalFormatting>
  <conditionalFormatting sqref="E49">
    <cfRule type="iconSet" priority="46">
      <iconSet iconSet="3Symbols" showValue="0">
        <cfvo type="percent" val="0"/>
        <cfvo type="num" val="0"/>
        <cfvo type="num" val="1"/>
      </iconSet>
    </cfRule>
  </conditionalFormatting>
  <conditionalFormatting sqref="A41">
    <cfRule type="iconSet" priority="45">
      <iconSet iconSet="3Symbols" showValue="0">
        <cfvo type="percent" val="0"/>
        <cfvo type="num" val="0"/>
        <cfvo type="num" val="1"/>
      </iconSet>
    </cfRule>
  </conditionalFormatting>
  <conditionalFormatting sqref="A34">
    <cfRule type="iconSet" priority="44">
      <iconSet iconSet="3Symbols" showValue="0">
        <cfvo type="percent" val="0"/>
        <cfvo type="num" val="-4"/>
        <cfvo type="num" val="4"/>
      </iconSet>
    </cfRule>
  </conditionalFormatting>
  <conditionalFormatting sqref="I11">
    <cfRule type="iconSet" priority="43">
      <iconSet iconSet="3Symbols" showValue="0">
        <cfvo type="percent" val="0"/>
        <cfvo type="num" val="0.25"/>
        <cfvo type="num" val="0.35"/>
      </iconSet>
    </cfRule>
  </conditionalFormatting>
  <conditionalFormatting sqref="I12">
    <cfRule type="iconSet" priority="42">
      <iconSet iconSet="3Symbols" showValue="0">
        <cfvo type="percent" val="0"/>
        <cfvo type="num" val="0"/>
        <cfvo type="num" val="1"/>
      </iconSet>
    </cfRule>
  </conditionalFormatting>
  <conditionalFormatting sqref="I13">
    <cfRule type="iconSet" priority="41">
      <iconSet iconSet="3Symbols" showValue="0">
        <cfvo type="percent" val="0"/>
        <cfvo type="num" val="0.9"/>
        <cfvo type="num" val="1.1000000000000001"/>
      </iconSet>
    </cfRule>
  </conditionalFormatting>
  <conditionalFormatting sqref="M11">
    <cfRule type="iconSet" priority="40">
      <iconSet iconSet="3Symbols" showValue="0">
        <cfvo type="percent" val="0"/>
        <cfvo type="num" val="0"/>
        <cfvo type="num" val="1"/>
      </iconSet>
    </cfRule>
  </conditionalFormatting>
  <conditionalFormatting sqref="M12">
    <cfRule type="iconSet" priority="39">
      <iconSet iconSet="3Symbols" showValue="0" reverse="1">
        <cfvo type="percent" val="0"/>
        <cfvo type="num" val="3.5"/>
        <cfvo type="num" val="4"/>
      </iconSet>
    </cfRule>
  </conditionalFormatting>
  <conditionalFormatting sqref="M13">
    <cfRule type="iconSet" priority="38">
      <iconSet iconSet="3Symbols" showValue="0">
        <cfvo type="percent" val="0"/>
        <cfvo type="num" val="0.2"/>
        <cfvo type="num" val="0.5"/>
      </iconSet>
    </cfRule>
  </conditionalFormatting>
  <conditionalFormatting sqref="M30">
    <cfRule type="iconSet" priority="37">
      <iconSet iconSet="3Symbols" showValue="0">
        <cfvo type="percent" val="0"/>
        <cfvo type="num" val="-0.9"/>
        <cfvo type="num" val="1"/>
      </iconSet>
    </cfRule>
  </conditionalFormatting>
  <conditionalFormatting sqref="I37">
    <cfRule type="iconSet" priority="36">
      <iconSet iconSet="3Symbols" showValue="0">
        <cfvo type="percent" val="0"/>
        <cfvo type="num" val="0"/>
        <cfvo type="num" val="2"/>
      </iconSet>
    </cfRule>
  </conditionalFormatting>
  <conditionalFormatting sqref="M45">
    <cfRule type="iconSet" priority="35">
      <iconSet iconSet="3Symbols" showValue="0">
        <cfvo type="percent" val="0"/>
        <cfvo type="num" val="0"/>
        <cfvo type="num" val="1"/>
      </iconSet>
    </cfRule>
  </conditionalFormatting>
  <pageMargins left="0.31496062992125984" right="0.31496062992125984" top="0.55118110236220474" bottom="0.55118110236220474"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51"/>
  <sheetViews>
    <sheetView tabSelected="1" topLeftCell="A37" workbookViewId="0">
      <selection activeCell="K56" sqref="K56"/>
    </sheetView>
  </sheetViews>
  <sheetFormatPr baseColWidth="10" defaultRowHeight="15"/>
  <cols>
    <col min="1" max="1" width="5.5703125" customWidth="1"/>
    <col min="2" max="2" width="6.7109375" customWidth="1"/>
    <col min="3" max="3" width="10.28515625" customWidth="1"/>
    <col min="4" max="4" width="11" customWidth="1"/>
    <col min="5" max="6" width="10.85546875" customWidth="1"/>
    <col min="7" max="7" width="10.7109375" customWidth="1"/>
    <col min="8" max="8" width="10.42578125" customWidth="1"/>
    <col min="9" max="9" width="10.5703125" customWidth="1"/>
  </cols>
  <sheetData>
    <row r="1" spans="1:9">
      <c r="A1" s="1"/>
      <c r="B1" s="1"/>
      <c r="C1" s="1"/>
      <c r="D1" s="1"/>
      <c r="E1" s="1"/>
      <c r="F1" s="1"/>
      <c r="G1" s="1"/>
      <c r="H1" s="1"/>
      <c r="I1" s="1"/>
    </row>
    <row r="2" spans="1:9">
      <c r="A2" s="1"/>
      <c r="B2" s="955" t="s">
        <v>295</v>
      </c>
      <c r="C2" s="955"/>
      <c r="D2" s="955"/>
      <c r="E2" s="955"/>
      <c r="F2" s="955"/>
      <c r="G2" s="955"/>
      <c r="H2" s="955"/>
      <c r="I2" s="955"/>
    </row>
    <row r="3" spans="1:9">
      <c r="A3" s="1"/>
      <c r="B3" s="955"/>
      <c r="C3" s="955"/>
      <c r="D3" s="955"/>
      <c r="E3" s="955"/>
      <c r="F3" s="955"/>
      <c r="G3" s="955"/>
      <c r="H3" s="955"/>
      <c r="I3" s="955"/>
    </row>
    <row r="4" spans="1:9">
      <c r="B4" s="955"/>
      <c r="C4" s="955"/>
      <c r="D4" s="955"/>
      <c r="E4" s="955"/>
      <c r="F4" s="955"/>
      <c r="G4" s="955"/>
      <c r="H4" s="955"/>
      <c r="I4" s="955"/>
    </row>
    <row r="5" spans="1:9">
      <c r="A5" s="19"/>
      <c r="B5" s="19"/>
      <c r="C5" s="19"/>
      <c r="D5" s="19"/>
      <c r="E5" s="19"/>
      <c r="F5" s="19"/>
      <c r="G5" s="19"/>
      <c r="H5" s="19"/>
      <c r="I5" s="19"/>
    </row>
    <row r="6" spans="1:9">
      <c r="A6" s="19"/>
      <c r="B6" s="19"/>
      <c r="C6" s="19"/>
      <c r="D6" s="19"/>
      <c r="E6" s="19"/>
      <c r="F6" s="19"/>
      <c r="G6" s="19"/>
      <c r="H6" s="19"/>
      <c r="I6" s="19"/>
    </row>
    <row r="7" spans="1:9">
      <c r="A7" s="19"/>
      <c r="B7" s="172" t="s">
        <v>296</v>
      </c>
      <c r="C7" s="172"/>
      <c r="D7" s="172"/>
      <c r="E7" s="172"/>
      <c r="F7" s="172"/>
      <c r="G7" s="172"/>
      <c r="H7" s="172"/>
      <c r="I7" s="172"/>
    </row>
    <row r="8" spans="1:9">
      <c r="A8" s="19"/>
      <c r="B8" s="19"/>
      <c r="C8" s="19"/>
      <c r="D8" s="19"/>
      <c r="E8" s="19"/>
      <c r="F8" s="19"/>
      <c r="G8" s="19"/>
      <c r="H8" s="19"/>
      <c r="I8" s="19"/>
    </row>
    <row r="9" spans="1:9">
      <c r="A9" s="19"/>
      <c r="B9" s="19"/>
      <c r="C9" s="19"/>
      <c r="D9" s="19"/>
      <c r="E9" s="19"/>
      <c r="F9" s="19"/>
      <c r="G9" s="19"/>
      <c r="H9" s="19"/>
      <c r="I9" s="19"/>
    </row>
    <row r="10" spans="1:9">
      <c r="A10" s="19"/>
      <c r="B10" s="19"/>
      <c r="C10" s="19"/>
      <c r="D10" s="19"/>
      <c r="E10" s="19"/>
      <c r="F10" s="19"/>
      <c r="G10" s="19"/>
      <c r="H10" s="19"/>
      <c r="I10" s="19"/>
    </row>
    <row r="11" spans="1:9">
      <c r="A11" s="19"/>
      <c r="B11" s="19"/>
      <c r="C11" s="19"/>
      <c r="D11" s="19"/>
      <c r="E11" s="19"/>
      <c r="F11" s="19"/>
      <c r="G11" s="19"/>
      <c r="H11" s="19"/>
      <c r="I11" s="19"/>
    </row>
    <row r="12" spans="1:9">
      <c r="A12" s="19"/>
      <c r="B12" s="19"/>
      <c r="C12" s="19"/>
      <c r="D12" s="19"/>
      <c r="E12" s="19"/>
      <c r="F12" s="19"/>
      <c r="G12" s="19"/>
      <c r="H12" s="19"/>
      <c r="I12" s="19"/>
    </row>
    <row r="13" spans="1:9">
      <c r="A13" s="19"/>
      <c r="B13" s="19"/>
      <c r="C13" s="19"/>
      <c r="D13" s="19"/>
      <c r="E13" s="19"/>
      <c r="F13" s="19"/>
      <c r="G13" s="19"/>
      <c r="H13" s="19"/>
      <c r="I13" s="19"/>
    </row>
    <row r="14" spans="1:9">
      <c r="A14" s="19"/>
      <c r="B14" s="19"/>
      <c r="C14" s="19"/>
      <c r="D14" s="19"/>
      <c r="E14" s="19"/>
      <c r="F14" s="19"/>
      <c r="G14" s="19"/>
      <c r="H14" s="19"/>
      <c r="I14" s="19"/>
    </row>
    <row r="15" spans="1:9">
      <c r="A15" s="19"/>
      <c r="B15" s="19"/>
      <c r="C15" s="19"/>
      <c r="D15" s="19"/>
      <c r="E15" s="19"/>
      <c r="F15" s="19"/>
      <c r="G15" s="19"/>
      <c r="H15" s="19"/>
      <c r="I15" s="19"/>
    </row>
    <row r="16" spans="1:9">
      <c r="A16" s="19"/>
      <c r="B16" s="19"/>
      <c r="C16" s="19"/>
      <c r="D16" s="19"/>
      <c r="E16" s="19"/>
      <c r="F16" s="19"/>
      <c r="G16" s="19"/>
      <c r="H16" s="19"/>
      <c r="I16" s="19"/>
    </row>
    <row r="17" spans="1:10">
      <c r="A17" s="19"/>
      <c r="B17" s="19"/>
      <c r="C17" s="19"/>
      <c r="D17" s="19"/>
      <c r="E17" s="19"/>
      <c r="F17" s="19"/>
      <c r="G17" s="19"/>
      <c r="H17" s="19"/>
      <c r="I17" s="19"/>
    </row>
    <row r="18" spans="1:10">
      <c r="A18" s="19"/>
      <c r="B18" s="19"/>
      <c r="C18" s="19"/>
      <c r="D18" s="19"/>
      <c r="E18" s="19"/>
      <c r="F18" s="19"/>
      <c r="G18" s="19"/>
      <c r="H18" s="19"/>
      <c r="I18" s="19"/>
    </row>
    <row r="19" spans="1:10">
      <c r="A19" s="19"/>
      <c r="B19" s="19"/>
      <c r="C19" s="114" t="s">
        <v>212</v>
      </c>
      <c r="D19" s="114" t="str">
        <f>'CACh prévi'!K25</f>
        <v/>
      </c>
      <c r="E19" s="114" t="str">
        <f>'CACh prévi'!L25</f>
        <v/>
      </c>
      <c r="F19" s="114" t="str">
        <f>'CACh prévi'!M25</f>
        <v/>
      </c>
      <c r="G19" s="114" t="str">
        <f>'CACh prévi'!N25</f>
        <v/>
      </c>
      <c r="H19" s="114" t="str">
        <f>'CACh prévi'!O25</f>
        <v/>
      </c>
      <c r="I19" s="114" t="str">
        <f>'CACh prévi'!P25</f>
        <v/>
      </c>
    </row>
    <row r="20" spans="1:10">
      <c r="A20" s="19"/>
      <c r="B20" s="19"/>
      <c r="C20" s="114" t="s">
        <v>214</v>
      </c>
      <c r="D20" s="114" t="str">
        <f>'CACh prévi'!J26</f>
        <v>12 mois</v>
      </c>
      <c r="E20" s="114" t="str">
        <f>'CACh prévi'!K26</f>
        <v>12 mois</v>
      </c>
      <c r="F20" s="114" t="str">
        <f>'CACh prévi'!L26</f>
        <v>12 mois</v>
      </c>
      <c r="G20" s="114" t="str">
        <f>'CACh prévi'!M26</f>
        <v>12 mois</v>
      </c>
      <c r="H20" s="114" t="str">
        <f>'CACh prévi'!N26</f>
        <v>12 mois</v>
      </c>
      <c r="I20" s="114" t="str">
        <f>'CACh prévi'!O26</f>
        <v>12 mois</v>
      </c>
    </row>
    <row r="21" spans="1:10">
      <c r="A21" s="801" t="s">
        <v>215</v>
      </c>
      <c r="B21" s="802"/>
      <c r="C21" s="197">
        <f>'CACh prévi'!J27</f>
        <v>0</v>
      </c>
      <c r="D21" s="197">
        <f>'CACh prévi'!K27</f>
        <v>0</v>
      </c>
      <c r="E21" s="197">
        <f>'CACh prévi'!L27</f>
        <v>0</v>
      </c>
      <c r="F21" s="197">
        <f>'CACh prévi'!M27</f>
        <v>0</v>
      </c>
      <c r="G21" s="197">
        <f>'CACh prévi'!N27</f>
        <v>0</v>
      </c>
      <c r="H21" s="197">
        <f>'CACh prévi'!O27</f>
        <v>0</v>
      </c>
      <c r="I21" s="197">
        <f>'CACh prévi'!P27</f>
        <v>0</v>
      </c>
    </row>
    <row r="22" spans="1:10">
      <c r="A22" s="17" t="str">
        <f>'P6'!A9</f>
        <v/>
      </c>
      <c r="B22" s="17"/>
      <c r="C22" s="27"/>
      <c r="D22" s="27"/>
      <c r="E22" s="27"/>
      <c r="F22" s="27"/>
      <c r="G22" s="27"/>
      <c r="H22" s="27"/>
      <c r="I22" s="27"/>
    </row>
    <row r="23" spans="1:10">
      <c r="A23" s="19"/>
      <c r="B23" s="17"/>
      <c r="C23" s="27"/>
      <c r="D23" s="27"/>
      <c r="E23" s="198"/>
      <c r="F23" s="27"/>
      <c r="G23" s="27"/>
      <c r="H23" s="27"/>
      <c r="I23" s="27"/>
    </row>
    <row r="24" spans="1:10">
      <c r="A24" s="19"/>
      <c r="B24" s="28"/>
      <c r="C24" s="28"/>
      <c r="D24" s="28"/>
      <c r="E24" s="28"/>
      <c r="F24" s="28"/>
      <c r="G24" s="28"/>
      <c r="H24" s="28"/>
      <c r="I24" s="28"/>
    </row>
    <row r="25" spans="1:10">
      <c r="A25" s="19"/>
      <c r="B25" s="172" t="s">
        <v>297</v>
      </c>
      <c r="C25" s="202"/>
      <c r="D25" s="172"/>
      <c r="E25" s="172"/>
      <c r="F25" s="172"/>
      <c r="G25" s="172"/>
      <c r="H25" s="172"/>
      <c r="I25" s="172"/>
    </row>
    <row r="26" spans="1:10">
      <c r="A26" s="17"/>
      <c r="B26" s="28"/>
      <c r="C26" s="203"/>
      <c r="D26" s="28"/>
      <c r="E26" s="28"/>
      <c r="F26" s="28"/>
      <c r="G26" s="28"/>
      <c r="H26" s="28"/>
      <c r="I26" s="28"/>
      <c r="J26" s="3"/>
    </row>
    <row r="27" spans="1:10">
      <c r="A27" s="17"/>
      <c r="B27" s="17"/>
      <c r="C27" s="17"/>
      <c r="D27" s="17"/>
      <c r="E27" s="17"/>
      <c r="F27" s="17"/>
      <c r="G27" s="17"/>
      <c r="H27" s="17"/>
      <c r="I27" s="17"/>
      <c r="J27" s="3"/>
    </row>
    <row r="28" spans="1:10">
      <c r="A28" s="973" t="str">
        <f>BO!A43</f>
        <v>L'activité n'est pas soumise à une saisonnalité : le chiffre d'affaires a été réparti équitablement entre les mois qui composent cette année.</v>
      </c>
      <c r="B28" s="973"/>
      <c r="C28" s="973"/>
      <c r="D28" s="973"/>
      <c r="E28" s="973"/>
      <c r="F28" s="973"/>
      <c r="G28" s="973"/>
      <c r="H28" s="973"/>
      <c r="I28" s="973"/>
      <c r="J28" s="3"/>
    </row>
    <row r="29" spans="1:10">
      <c r="A29" s="973"/>
      <c r="B29" s="973"/>
      <c r="C29" s="973"/>
      <c r="D29" s="973"/>
      <c r="E29" s="973"/>
      <c r="F29" s="973"/>
      <c r="G29" s="973"/>
      <c r="H29" s="973"/>
      <c r="I29" s="973"/>
      <c r="J29" s="3"/>
    </row>
    <row r="30" spans="1:10">
      <c r="A30" s="408"/>
      <c r="B30" s="408"/>
      <c r="C30" s="408"/>
      <c r="D30" s="408"/>
      <c r="E30" s="408"/>
      <c r="F30" s="408"/>
      <c r="G30" s="408"/>
      <c r="H30" s="408"/>
      <c r="I30" s="408"/>
      <c r="J30" s="3"/>
    </row>
    <row r="31" spans="1:10">
      <c r="A31" s="479"/>
      <c r="B31" s="479"/>
      <c r="C31" s="479"/>
      <c r="D31" s="479"/>
      <c r="E31" s="479"/>
      <c r="F31" s="479"/>
      <c r="G31" s="479"/>
      <c r="H31" s="479"/>
      <c r="I31" s="479"/>
      <c r="J31" s="3"/>
    </row>
    <row r="32" spans="1:10">
      <c r="A32" s="17"/>
      <c r="B32" s="17"/>
      <c r="C32" s="17"/>
      <c r="D32" s="17"/>
      <c r="E32" s="17"/>
      <c r="F32" s="17"/>
      <c r="G32" s="17"/>
      <c r="H32" s="17"/>
      <c r="I32" s="17"/>
      <c r="J32" s="3"/>
    </row>
    <row r="33" spans="1:10">
      <c r="A33" s="17"/>
      <c r="B33" s="480"/>
      <c r="C33" s="17"/>
      <c r="D33" s="325"/>
      <c r="E33" s="325"/>
      <c r="F33" s="325"/>
      <c r="G33" s="325"/>
      <c r="H33" s="325"/>
      <c r="I33" s="325"/>
      <c r="J33" s="3"/>
    </row>
    <row r="34" spans="1:10">
      <c r="A34" s="17"/>
      <c r="B34" s="480"/>
      <c r="C34" s="17"/>
      <c r="D34" s="325"/>
      <c r="E34" s="325"/>
      <c r="F34" s="325"/>
      <c r="G34" s="325"/>
      <c r="H34" s="325"/>
      <c r="I34" s="325"/>
      <c r="J34" s="3"/>
    </row>
    <row r="35" spans="1:10">
      <c r="A35" s="17"/>
      <c r="B35" s="480"/>
      <c r="C35" s="17"/>
      <c r="D35" s="325"/>
      <c r="E35" s="325"/>
      <c r="F35" s="325"/>
      <c r="G35" s="325"/>
      <c r="H35" s="325"/>
      <c r="I35" s="325"/>
      <c r="J35" s="3"/>
    </row>
    <row r="36" spans="1:10">
      <c r="A36" s="17"/>
      <c r="B36" s="480"/>
      <c r="C36" s="17"/>
      <c r="D36" s="325"/>
      <c r="E36" s="325"/>
      <c r="F36" s="325"/>
      <c r="G36" s="325"/>
      <c r="H36" s="325"/>
      <c r="I36" s="325"/>
      <c r="J36" s="3"/>
    </row>
    <row r="37" spans="1:10">
      <c r="A37" s="17"/>
      <c r="B37" s="480"/>
      <c r="C37" s="17"/>
      <c r="D37" s="325"/>
      <c r="E37" s="325"/>
      <c r="F37" s="325"/>
      <c r="G37" s="325"/>
      <c r="H37" s="325"/>
      <c r="I37" s="325"/>
      <c r="J37" s="3"/>
    </row>
    <row r="38" spans="1:10">
      <c r="A38" s="17"/>
      <c r="B38" s="480"/>
      <c r="C38" s="17"/>
      <c r="D38" s="325"/>
      <c r="E38" s="325"/>
      <c r="F38" s="325"/>
      <c r="G38" s="325"/>
      <c r="H38" s="325"/>
      <c r="I38" s="325"/>
      <c r="J38" s="3"/>
    </row>
    <row r="39" spans="1:10">
      <c r="A39" s="17"/>
      <c r="B39" s="480"/>
      <c r="C39" s="17"/>
      <c r="D39" s="325"/>
      <c r="E39" s="325"/>
      <c r="F39" s="325"/>
      <c r="G39" s="325"/>
      <c r="H39" s="325"/>
      <c r="I39" s="325"/>
      <c r="J39" s="3"/>
    </row>
    <row r="40" spans="1:10">
      <c r="A40" s="17"/>
      <c r="B40" s="480"/>
      <c r="C40" s="17"/>
      <c r="D40" s="325"/>
      <c r="E40" s="325"/>
      <c r="F40" s="325"/>
      <c r="G40" s="325"/>
      <c r="H40" s="325"/>
      <c r="I40" s="325"/>
      <c r="J40" s="3"/>
    </row>
    <row r="41" spans="1:10">
      <c r="A41" s="17"/>
      <c r="B41" s="480"/>
      <c r="C41" s="17"/>
      <c r="D41" s="325"/>
      <c r="E41" s="325"/>
      <c r="F41" s="325"/>
      <c r="G41" s="325"/>
      <c r="H41" s="325"/>
      <c r="I41" s="325"/>
      <c r="J41" s="3"/>
    </row>
    <row r="42" spans="1:10">
      <c r="A42" s="17"/>
      <c r="B42" s="169" t="s">
        <v>298</v>
      </c>
      <c r="C42" s="481"/>
      <c r="D42" s="169"/>
      <c r="E42" s="169"/>
      <c r="F42" s="169"/>
      <c r="G42" s="169"/>
      <c r="H42" s="169"/>
      <c r="I42" s="169"/>
      <c r="J42" s="3"/>
    </row>
    <row r="43" spans="1:10">
      <c r="A43" s="17"/>
      <c r="B43" s="480"/>
      <c r="C43" s="17"/>
      <c r="D43" s="325"/>
      <c r="E43" s="325"/>
      <c r="F43" s="325"/>
      <c r="G43" s="325"/>
      <c r="H43" s="325"/>
      <c r="I43" s="325"/>
      <c r="J43" s="3"/>
    </row>
    <row r="44" spans="1:10">
      <c r="A44" s="17" t="str">
        <f>IFERROR(BO!A49,"")</f>
        <v>La 1ère année, le projet génère un Excédent en Fonds de Roulement de 0 jours de CAHT, soit 0 €.</v>
      </c>
      <c r="B44" s="480"/>
      <c r="C44" s="17"/>
      <c r="D44" s="325"/>
      <c r="E44" s="325"/>
      <c r="F44" s="325"/>
      <c r="G44" s="325"/>
      <c r="H44" s="325"/>
      <c r="I44" s="325"/>
      <c r="J44" s="3"/>
    </row>
    <row r="45" spans="1:10">
      <c r="A45" s="894">
        <f>IFERROR(BO!A55,"")</f>
        <v>0</v>
      </c>
      <c r="B45" s="894"/>
      <c r="C45" s="894"/>
      <c r="D45" s="894"/>
      <c r="E45" s="894"/>
      <c r="F45" s="894"/>
      <c r="G45" s="894"/>
      <c r="H45" s="894"/>
      <c r="I45" s="894"/>
      <c r="J45" s="3"/>
    </row>
    <row r="46" spans="1:10">
      <c r="A46" s="894"/>
      <c r="B46" s="894"/>
      <c r="C46" s="894"/>
      <c r="D46" s="894"/>
      <c r="E46" s="894"/>
      <c r="F46" s="894"/>
      <c r="G46" s="894"/>
      <c r="H46" s="894"/>
      <c r="I46" s="894"/>
      <c r="J46" s="3"/>
    </row>
    <row r="47" spans="1:10">
      <c r="A47" s="894"/>
      <c r="B47" s="894"/>
      <c r="C47" s="894"/>
      <c r="D47" s="894"/>
      <c r="E47" s="894"/>
      <c r="F47" s="894"/>
      <c r="G47" s="894"/>
      <c r="H47" s="894"/>
      <c r="I47" s="894"/>
      <c r="J47" s="3"/>
    </row>
    <row r="48" spans="1:10">
      <c r="A48" s="17"/>
      <c r="B48" s="480"/>
      <c r="C48" s="17"/>
      <c r="D48" s="17"/>
      <c r="E48" s="17"/>
      <c r="F48" s="17"/>
      <c r="G48" s="17"/>
      <c r="H48" s="17"/>
      <c r="I48" s="17"/>
      <c r="J48" s="3"/>
    </row>
    <row r="49" spans="1:9">
      <c r="A49" s="19"/>
      <c r="B49" s="200"/>
      <c r="C49" s="19"/>
      <c r="D49" s="19"/>
      <c r="E49" s="19"/>
      <c r="F49" s="19"/>
      <c r="G49" s="19"/>
      <c r="H49" s="19"/>
      <c r="I49" s="19"/>
    </row>
    <row r="50" spans="1:9">
      <c r="A50" s="19"/>
      <c r="B50" s="200"/>
      <c r="C50" s="19"/>
      <c r="D50" s="19"/>
      <c r="E50" s="19"/>
      <c r="F50" s="19"/>
      <c r="G50" s="19"/>
      <c r="H50" s="19"/>
      <c r="I50" s="19">
        <v>5</v>
      </c>
    </row>
    <row r="51" spans="1:9">
      <c r="A51" s="19"/>
      <c r="B51" s="200"/>
      <c r="C51" s="19"/>
      <c r="D51" s="19"/>
      <c r="E51" s="19"/>
      <c r="F51" s="19"/>
      <c r="G51" s="19"/>
      <c r="H51" s="19"/>
    </row>
  </sheetData>
  <sheetProtection password="CF95" sheet="1" objects="1" scenarios="1"/>
  <mergeCells count="4">
    <mergeCell ref="B2:I4"/>
    <mergeCell ref="A21:B21"/>
    <mergeCell ref="A28:I29"/>
    <mergeCell ref="A45:I47"/>
  </mergeCells>
  <pageMargins left="0.31496062992125984" right="0.31496062992125984"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19</vt:i4>
      </vt:variant>
    </vt:vector>
  </HeadingPairs>
  <TitlesOfParts>
    <vt:vector size="40" baseType="lpstr">
      <vt:lpstr>Notice</vt:lpstr>
      <vt:lpstr>Présentation</vt:lpstr>
      <vt:lpstr>AFin</vt:lpstr>
      <vt:lpstr>CACh prévi</vt:lpstr>
      <vt:lpstr>Fin</vt:lpstr>
      <vt:lpstr>Paramètres</vt:lpstr>
      <vt:lpstr>P1-P2</vt:lpstr>
      <vt:lpstr>P3-P4</vt:lpstr>
      <vt:lpstr>P5</vt:lpstr>
      <vt:lpstr>P6</vt:lpstr>
      <vt:lpstr>P7</vt:lpstr>
      <vt:lpstr>P8</vt:lpstr>
      <vt:lpstr>P9</vt:lpstr>
      <vt:lpstr>Emprunt 1</vt:lpstr>
      <vt:lpstr>Emprunt 2</vt:lpstr>
      <vt:lpstr>Emprunt 3</vt:lpstr>
      <vt:lpstr>BO AF</vt:lpstr>
      <vt:lpstr>BO</vt:lpstr>
      <vt:lpstr>BO Fin</vt:lpstr>
      <vt:lpstr>BO Cout Fin</vt:lpstr>
      <vt:lpstr>BO P10</vt:lpstr>
      <vt:lpstr>'Emprunt 1'!Montant_prêt</vt:lpstr>
      <vt:lpstr>'Emprunt 2'!Montant_prêt</vt:lpstr>
      <vt:lpstr>'Emprunt 3'!Montant_prêt</vt:lpstr>
      <vt:lpstr>AFin!Zone_d_impression</vt:lpstr>
      <vt:lpstr>'BO AF'!Zone_d_impression</vt:lpstr>
      <vt:lpstr>'CACh prévi'!Zone_d_impression</vt:lpstr>
      <vt:lpstr>'Emprunt 1'!Zone_d_impression</vt:lpstr>
      <vt:lpstr>'Emprunt 2'!Zone_d_impression</vt:lpstr>
      <vt:lpstr>'Emprunt 3'!Zone_d_impression</vt:lpstr>
      <vt:lpstr>Notice!Zone_d_impression</vt:lpstr>
      <vt:lpstr>'P1-P2'!Zone_d_impression</vt:lpstr>
      <vt:lpstr>'P3-P4'!Zone_d_impression</vt:lpstr>
      <vt:lpstr>'P5'!Zone_d_impression</vt:lpstr>
      <vt:lpstr>'P6'!Zone_d_impression</vt:lpstr>
      <vt:lpstr>'P7'!Zone_d_impression</vt:lpstr>
      <vt:lpstr>'P8'!Zone_d_impression</vt:lpstr>
      <vt:lpstr>'P9'!Zone_d_impression</vt:lpstr>
      <vt:lpstr>Paramètres!Zone_d_impression</vt:lpstr>
      <vt:lpstr>Présentation!Zone_d_impression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Stagiaire</dc:creator>
  <cp:lastModifiedBy>Catherine PECASTAINGS</cp:lastModifiedBy>
  <cp:lastPrinted>2019-08-02T09:58:53Z</cp:lastPrinted>
  <dcterms:created xsi:type="dcterms:W3CDTF">2019-06-26T13:14:42Z</dcterms:created>
  <dcterms:modified xsi:type="dcterms:W3CDTF">2019-08-02T09:59:03Z</dcterms:modified>
</cp:coreProperties>
</file>